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2760" yWindow="32760" windowWidth="20730" windowHeight="8340" firstSheet="1" activeTab="1"/>
  </bookViews>
  <sheets>
    <sheet name="Kangatang" sheetId="19" state="veryHidden" r:id=""/>
    <sheet name="Ket qua TH Chi tieu 2023-2024" sheetId="18" r:id="rId1"/>
    <sheet name="KCB chung " sheetId="15" r:id="rId2"/>
    <sheet name="KCB người nghèo" sheetId="16" r:id="rId3"/>
    <sheet name="KCB trẻ &lt; 6 tuổi" sheetId="17" r:id="rId4"/>
    <sheet name="Ước 12 tháng (ước t11,t12)" sheetId="14" state="hidden" r:id="rId5"/>
  </sheets>
  <externalReferences>
    <externalReference r:id="rId6"/>
    <externalReference r:id="rId7"/>
    <externalReference r:id="rId8"/>
  </externalReferences>
  <calcPr calcId="162913"/>
</workbook>
</file>

<file path=xl/calcChain.xml><?xml version="1.0" encoding="utf-8"?>
<calcChain xmlns="http://schemas.openxmlformats.org/spreadsheetml/2006/main">
  <c r="G68" i="18" l="1"/>
  <c r="G65" i="18"/>
  <c r="N19" i="17"/>
  <c r="J19" i="17"/>
  <c r="F19" i="17"/>
  <c r="N19" i="16"/>
  <c r="J19" i="16"/>
  <c r="F19" i="16"/>
  <c r="U18" i="15"/>
  <c r="R18" i="15"/>
  <c r="P18" i="15"/>
  <c r="L18" i="15"/>
  <c r="H18" i="15"/>
  <c r="N18" i="17"/>
  <c r="J18" i="17"/>
  <c r="F18" i="17"/>
  <c r="N18" i="16"/>
  <c r="J18" i="16"/>
  <c r="F18" i="16"/>
  <c r="U17" i="15"/>
  <c r="R17" i="15"/>
  <c r="P17" i="15"/>
  <c r="L17" i="15"/>
  <c r="H17" i="15"/>
  <c r="H16" i="15"/>
  <c r="N16" i="17"/>
  <c r="J16" i="17"/>
  <c r="F16" i="17"/>
  <c r="N16" i="16"/>
  <c r="J16" i="16"/>
  <c r="F16" i="16"/>
  <c r="U15" i="15"/>
  <c r="R15" i="15"/>
  <c r="P15" i="15"/>
  <c r="L15" i="15"/>
  <c r="H15" i="15"/>
  <c r="N17" i="17"/>
  <c r="J17" i="17"/>
  <c r="F17" i="17"/>
  <c r="N17" i="16"/>
  <c r="J17" i="16"/>
  <c r="F17" i="16"/>
  <c r="U16" i="15"/>
  <c r="R16" i="15"/>
  <c r="P16" i="15"/>
  <c r="L16" i="15"/>
  <c r="G66" i="18"/>
  <c r="G67" i="18"/>
  <c r="N11" i="17"/>
  <c r="J11" i="17"/>
  <c r="F11" i="17"/>
  <c r="N11" i="16"/>
  <c r="J11" i="16"/>
  <c r="F11" i="16"/>
  <c r="U10" i="15"/>
  <c r="R10" i="15"/>
  <c r="P10" i="15"/>
  <c r="L10" i="15"/>
  <c r="H10" i="15"/>
  <c r="N22" i="17"/>
  <c r="J22" i="17"/>
  <c r="F22" i="17"/>
  <c r="N22" i="16"/>
  <c r="J22" i="16"/>
  <c r="F22" i="16"/>
  <c r="U21" i="15"/>
  <c r="R21" i="15"/>
  <c r="P21" i="15"/>
  <c r="L21" i="15"/>
  <c r="H21" i="15"/>
  <c r="N21" i="17"/>
  <c r="J21" i="17"/>
  <c r="F21" i="17"/>
  <c r="N21" i="16"/>
  <c r="J21" i="16"/>
  <c r="F21" i="16"/>
  <c r="U20" i="15"/>
  <c r="R20" i="15"/>
  <c r="P20" i="15"/>
  <c r="L20" i="15"/>
  <c r="H20" i="15"/>
  <c r="N20" i="17"/>
  <c r="J20" i="17"/>
  <c r="F20" i="17"/>
  <c r="N20" i="16"/>
  <c r="J20" i="16"/>
  <c r="F20" i="16"/>
  <c r="U19" i="15"/>
  <c r="R19" i="15"/>
  <c r="P19" i="15"/>
  <c r="L19" i="15"/>
  <c r="H19" i="15"/>
  <c r="N15" i="17"/>
  <c r="J15" i="17"/>
  <c r="F15" i="17"/>
  <c r="N15" i="16"/>
  <c r="J15" i="16"/>
  <c r="F15" i="16"/>
  <c r="K14" i="16"/>
  <c r="K8" i="16"/>
  <c r="U14" i="15"/>
  <c r="R14" i="15"/>
  <c r="P14" i="15"/>
  <c r="L14" i="15"/>
  <c r="H14" i="15"/>
  <c r="G70" i="18"/>
  <c r="G69" i="18"/>
  <c r="G64" i="18"/>
  <c r="G62" i="18"/>
  <c r="F60" i="18"/>
  <c r="H55" i="18"/>
  <c r="G55" i="18"/>
  <c r="F55" i="18"/>
  <c r="E55" i="18"/>
  <c r="D55" i="18"/>
  <c r="G51" i="18"/>
  <c r="F51" i="18"/>
  <c r="G50" i="18"/>
  <c r="F50" i="18"/>
  <c r="E38" i="18"/>
  <c r="H36" i="18"/>
  <c r="H41" i="18"/>
  <c r="H42" i="18"/>
  <c r="G36" i="18"/>
  <c r="G42" i="18"/>
  <c r="F36" i="18"/>
  <c r="F42" i="18"/>
  <c r="E36" i="18"/>
  <c r="E42" i="18"/>
  <c r="H26" i="18"/>
  <c r="G26" i="18"/>
  <c r="F26" i="18"/>
  <c r="E26" i="18"/>
  <c r="F15" i="18"/>
  <c r="H11" i="18"/>
  <c r="H49" i="18"/>
  <c r="G11" i="18"/>
  <c r="F11" i="18"/>
  <c r="F66" i="18"/>
  <c r="E11" i="18"/>
  <c r="E47" i="18"/>
  <c r="D11" i="18"/>
  <c r="D49" i="18"/>
  <c r="A3" i="17"/>
  <c r="N12" i="17"/>
  <c r="N13" i="17"/>
  <c r="J12" i="17"/>
  <c r="J13" i="17"/>
  <c r="F10" i="17"/>
  <c r="F12" i="17"/>
  <c r="F13" i="17"/>
  <c r="N10" i="16"/>
  <c r="N12" i="16"/>
  <c r="N13" i="16"/>
  <c r="J10" i="16"/>
  <c r="J12" i="16"/>
  <c r="J13" i="16"/>
  <c r="F10" i="16"/>
  <c r="F12" i="16"/>
  <c r="F13" i="16"/>
  <c r="P9" i="15"/>
  <c r="P11" i="15"/>
  <c r="P12" i="15"/>
  <c r="L9" i="15"/>
  <c r="L11" i="15"/>
  <c r="L12" i="15"/>
  <c r="H9" i="15"/>
  <c r="H11" i="15"/>
  <c r="H12" i="15"/>
  <c r="U9" i="15"/>
  <c r="U11" i="15"/>
  <c r="R9" i="15"/>
  <c r="R11" i="15"/>
  <c r="N10" i="17"/>
  <c r="J10" i="17"/>
  <c r="N13" i="15"/>
  <c r="N8" i="15"/>
  <c r="N7" i="15"/>
  <c r="Q13" i="15"/>
  <c r="S13" i="15"/>
  <c r="U13" i="15"/>
  <c r="T13" i="15"/>
  <c r="T7" i="15"/>
  <c r="Q8" i="15"/>
  <c r="Q7" i="15"/>
  <c r="S8" i="15"/>
  <c r="T8" i="15"/>
  <c r="F8" i="15"/>
  <c r="L14" i="17"/>
  <c r="L8" i="17"/>
  <c r="M14" i="17"/>
  <c r="J8" i="15"/>
  <c r="J13" i="15"/>
  <c r="F13" i="15"/>
  <c r="F7" i="15"/>
  <c r="C14" i="16"/>
  <c r="C9" i="17"/>
  <c r="H14" i="17"/>
  <c r="D14" i="17"/>
  <c r="D8" i="17"/>
  <c r="L14" i="16"/>
  <c r="H14" i="16"/>
  <c r="H8" i="16"/>
  <c r="Q16" i="14"/>
  <c r="Q12" i="14"/>
  <c r="H12" i="14"/>
  <c r="R16" i="14"/>
  <c r="R12" i="14"/>
  <c r="R7" i="14"/>
  <c r="AW16" i="14"/>
  <c r="AW12" i="14"/>
  <c r="AW7" i="14"/>
  <c r="AX16" i="14"/>
  <c r="AX12" i="14"/>
  <c r="AX7" i="14"/>
  <c r="C8" i="14"/>
  <c r="C7" i="14"/>
  <c r="D8" i="14"/>
  <c r="E8" i="14"/>
  <c r="E7" i="14"/>
  <c r="F8" i="14"/>
  <c r="G8" i="14"/>
  <c r="G7" i="14"/>
  <c r="I8" i="14"/>
  <c r="J8" i="14"/>
  <c r="K8" i="14"/>
  <c r="L8" i="14"/>
  <c r="M8" i="14"/>
  <c r="N8" i="14"/>
  <c r="O8" i="14"/>
  <c r="O7" i="14"/>
  <c r="P8" i="14"/>
  <c r="Q8" i="14"/>
  <c r="R8" i="14"/>
  <c r="U8" i="14"/>
  <c r="V8" i="14"/>
  <c r="W8" i="14"/>
  <c r="AE8" i="14"/>
  <c r="AF8" i="14"/>
  <c r="AG8" i="14"/>
  <c r="AH8" i="14"/>
  <c r="AL8" i="14"/>
  <c r="AL7" i="14"/>
  <c r="AM8" i="14"/>
  <c r="AO8" i="14"/>
  <c r="AP8" i="14"/>
  <c r="AP7" i="14"/>
  <c r="AQ8" i="14"/>
  <c r="AR8" i="14"/>
  <c r="AR7" i="14"/>
  <c r="AS8" i="14"/>
  <c r="AT8" i="14"/>
  <c r="AU8" i="14"/>
  <c r="AU7" i="14"/>
  <c r="AV8" i="14"/>
  <c r="AW8" i="14"/>
  <c r="AX8" i="14"/>
  <c r="BA8" i="14"/>
  <c r="S9" i="14"/>
  <c r="AI9" i="14"/>
  <c r="AI8" i="14"/>
  <c r="AY9" i="14"/>
  <c r="BB9" i="14"/>
  <c r="S10" i="14"/>
  <c r="T10" i="14"/>
  <c r="H10" i="14"/>
  <c r="Y10" i="14"/>
  <c r="Y8" i="14"/>
  <c r="Z10" i="14"/>
  <c r="Z8" i="14"/>
  <c r="Z7" i="14"/>
  <c r="AA10" i="14"/>
  <c r="AA8" i="14"/>
  <c r="AB10" i="14"/>
  <c r="AB8" i="14"/>
  <c r="AC10" i="14"/>
  <c r="AC8" i="14"/>
  <c r="AC7" i="14"/>
  <c r="AD10" i="14"/>
  <c r="AD8" i="14"/>
  <c r="AD7" i="14"/>
  <c r="AI10" i="14"/>
  <c r="AJ10" i="14"/>
  <c r="AK10" i="14"/>
  <c r="AK8" i="14"/>
  <c r="AY10" i="14"/>
  <c r="BB10" i="14"/>
  <c r="BH10" i="14"/>
  <c r="S11" i="14"/>
  <c r="T11" i="14"/>
  <c r="H11" i="14"/>
  <c r="AI11" i="14"/>
  <c r="AY11" i="14"/>
  <c r="AZ11" i="14"/>
  <c r="BC11" i="14"/>
  <c r="BD11" i="14"/>
  <c r="BE11" i="14"/>
  <c r="BF11" i="14"/>
  <c r="C12" i="14"/>
  <c r="D12" i="14"/>
  <c r="E12" i="14"/>
  <c r="F12" i="14"/>
  <c r="G12" i="14"/>
  <c r="N12" i="14"/>
  <c r="O12" i="14"/>
  <c r="P12" i="14"/>
  <c r="S12" i="14"/>
  <c r="V12" i="14"/>
  <c r="V7" i="14"/>
  <c r="W12" i="14"/>
  <c r="AI12" i="14"/>
  <c r="AI7" i="14"/>
  <c r="AL12" i="14"/>
  <c r="AM12" i="14"/>
  <c r="AU12" i="14"/>
  <c r="AV12" i="14"/>
  <c r="AV7" i="14"/>
  <c r="AY12" i="14"/>
  <c r="H13" i="14"/>
  <c r="X13" i="14"/>
  <c r="AN13" i="14"/>
  <c r="BA13" i="14"/>
  <c r="BC13" i="14"/>
  <c r="BD13" i="14"/>
  <c r="BE13" i="14"/>
  <c r="BF13" i="14"/>
  <c r="I14" i="14"/>
  <c r="I12" i="14"/>
  <c r="J14" i="14"/>
  <c r="J12" i="14"/>
  <c r="J7" i="14"/>
  <c r="K14" i="14"/>
  <c r="K12" i="14"/>
  <c r="L14" i="14"/>
  <c r="L12" i="14"/>
  <c r="M14" i="14"/>
  <c r="M12" i="14"/>
  <c r="M7" i="14"/>
  <c r="X14" i="14"/>
  <c r="AD14" i="14"/>
  <c r="AO14" i="14"/>
  <c r="AP14" i="14"/>
  <c r="AP12" i="14"/>
  <c r="AQ14" i="14"/>
  <c r="AQ12" i="14"/>
  <c r="AQ7" i="14"/>
  <c r="AR14" i="14"/>
  <c r="AR12" i="14"/>
  <c r="AS14" i="14"/>
  <c r="AS12" i="14"/>
  <c r="AS7" i="14"/>
  <c r="AT14" i="14"/>
  <c r="AT12" i="14"/>
  <c r="BC14" i="14"/>
  <c r="BD14" i="14"/>
  <c r="BE14" i="14"/>
  <c r="BF14" i="14"/>
  <c r="H15" i="14"/>
  <c r="Y15" i="14"/>
  <c r="Y12" i="14"/>
  <c r="Z15" i="14"/>
  <c r="Z12" i="14"/>
  <c r="AA15" i="14"/>
  <c r="AA12" i="14"/>
  <c r="AB15" i="14"/>
  <c r="AB12" i="14"/>
  <c r="AC15" i="14"/>
  <c r="AC12" i="14"/>
  <c r="AD15" i="14"/>
  <c r="AD12" i="14"/>
  <c r="AE15" i="14"/>
  <c r="AE12" i="14"/>
  <c r="AE7" i="14"/>
  <c r="AF15" i="14"/>
  <c r="AF12" i="14"/>
  <c r="AF7" i="14"/>
  <c r="AG15" i="14"/>
  <c r="AG12" i="14"/>
  <c r="AG7" i="14"/>
  <c r="AH15" i="14"/>
  <c r="AH12" i="14"/>
  <c r="AH7" i="14"/>
  <c r="AN15" i="14"/>
  <c r="BA15" i="14"/>
  <c r="BC15" i="14"/>
  <c r="BD15" i="14"/>
  <c r="BE15" i="14"/>
  <c r="BF15" i="14"/>
  <c r="T16" i="14"/>
  <c r="T12" i="14"/>
  <c r="AG16" i="14"/>
  <c r="AH16" i="14"/>
  <c r="X16" i="14"/>
  <c r="AJ16" i="14"/>
  <c r="AJ12" i="14"/>
  <c r="AZ16" i="14"/>
  <c r="AZ12" i="14"/>
  <c r="BC16" i="14"/>
  <c r="BD16" i="14"/>
  <c r="BE16" i="14"/>
  <c r="BF16" i="14"/>
  <c r="BA17" i="14"/>
  <c r="BC17" i="14"/>
  <c r="BD17" i="14"/>
  <c r="BE17" i="14"/>
  <c r="BF17" i="14"/>
  <c r="H18" i="14"/>
  <c r="X18" i="14"/>
  <c r="AN18" i="14"/>
  <c r="BA18" i="14"/>
  <c r="BC18" i="14"/>
  <c r="BD18" i="14"/>
  <c r="BE18" i="14"/>
  <c r="BF18" i="14"/>
  <c r="H19" i="14"/>
  <c r="X19" i="14"/>
  <c r="AN19" i="14"/>
  <c r="BA19" i="14"/>
  <c r="BC19" i="14"/>
  <c r="BD19" i="14"/>
  <c r="BE19" i="14"/>
  <c r="BF19" i="14"/>
  <c r="H20" i="14"/>
  <c r="X20" i="14"/>
  <c r="AN20" i="14"/>
  <c r="BA20" i="14"/>
  <c r="BB20" i="14"/>
  <c r="BE20" i="14"/>
  <c r="D9" i="17"/>
  <c r="G9" i="17"/>
  <c r="H9" i="17"/>
  <c r="L9" i="17"/>
  <c r="K9" i="17"/>
  <c r="C14" i="17"/>
  <c r="C8" i="17"/>
  <c r="G14" i="17"/>
  <c r="G8" i="17"/>
  <c r="C9" i="16"/>
  <c r="C8" i="16"/>
  <c r="D9" i="16"/>
  <c r="G9" i="16"/>
  <c r="H9" i="16"/>
  <c r="L9" i="16"/>
  <c r="L8" i="16"/>
  <c r="K9" i="16"/>
  <c r="D14" i="16"/>
  <c r="G14" i="16"/>
  <c r="G8" i="16"/>
  <c r="C8" i="15"/>
  <c r="D8" i="15"/>
  <c r="E8" i="15"/>
  <c r="I8" i="15"/>
  <c r="M8" i="15"/>
  <c r="K8" i="15"/>
  <c r="C13" i="15"/>
  <c r="C7" i="15"/>
  <c r="R7" i="15"/>
  <c r="D13" i="15"/>
  <c r="D7" i="15"/>
  <c r="E13" i="15"/>
  <c r="E7" i="15"/>
  <c r="I13" i="15"/>
  <c r="I7" i="15"/>
  <c r="M13" i="15"/>
  <c r="E9" i="17"/>
  <c r="F9" i="17"/>
  <c r="M9" i="17"/>
  <c r="M8" i="17"/>
  <c r="E14" i="17"/>
  <c r="E8" i="17"/>
  <c r="F8" i="17"/>
  <c r="E9" i="16"/>
  <c r="F9" i="16"/>
  <c r="I9" i="16"/>
  <c r="J9" i="16"/>
  <c r="I9" i="17"/>
  <c r="G8" i="15"/>
  <c r="H8" i="15"/>
  <c r="O8" i="15"/>
  <c r="P8" i="15"/>
  <c r="E14" i="16"/>
  <c r="F14" i="16"/>
  <c r="G13" i="15"/>
  <c r="H13" i="15"/>
  <c r="M9" i="16"/>
  <c r="K13" i="15"/>
  <c r="K7" i="15"/>
  <c r="L7" i="15"/>
  <c r="O13" i="15"/>
  <c r="O7" i="15"/>
  <c r="K7" i="14"/>
  <c r="AJ11" i="14"/>
  <c r="AZ10" i="14"/>
  <c r="I14" i="17"/>
  <c r="J14" i="17"/>
  <c r="M14" i="16"/>
  <c r="I14" i="16"/>
  <c r="J14" i="16"/>
  <c r="K14" i="17"/>
  <c r="H14" i="14"/>
  <c r="AN10" i="14"/>
  <c r="BB8" i="14"/>
  <c r="AY8" i="14"/>
  <c r="AY7" i="14"/>
  <c r="AZ9" i="14"/>
  <c r="S8" i="14"/>
  <c r="S7" i="14"/>
  <c r="T9" i="14"/>
  <c r="T8" i="14"/>
  <c r="T7" i="14"/>
  <c r="AN9" i="14"/>
  <c r="H9" i="14"/>
  <c r="H8" i="14"/>
  <c r="I7" i="14"/>
  <c r="X10" i="14"/>
  <c r="X8" i="14"/>
  <c r="AA7" i="14"/>
  <c r="AB7" i="14"/>
  <c r="BD8" i="14"/>
  <c r="BE8" i="14"/>
  <c r="BF8" i="14"/>
  <c r="BB12" i="14"/>
  <c r="BD20" i="14"/>
  <c r="BF20" i="14"/>
  <c r="AO12" i="14"/>
  <c r="AO7" i="14"/>
  <c r="AN14" i="14"/>
  <c r="BC10" i="14"/>
  <c r="BF10" i="14"/>
  <c r="BC9" i="14"/>
  <c r="BD9" i="14"/>
  <c r="AT7" i="14"/>
  <c r="AM7" i="14"/>
  <c r="W7" i="14"/>
  <c r="BC8" i="14"/>
  <c r="BF9" i="14"/>
  <c r="AJ9" i="14"/>
  <c r="BE10" i="14"/>
  <c r="BC20" i="14"/>
  <c r="AN11" i="14"/>
  <c r="AN8" i="14"/>
  <c r="AZ8" i="14"/>
  <c r="AZ7" i="14"/>
  <c r="X11" i="14"/>
  <c r="BD10" i="14"/>
  <c r="BE9" i="14"/>
  <c r="P7" i="14"/>
  <c r="N7" i="14"/>
  <c r="L7" i="14"/>
  <c r="F7" i="14"/>
  <c r="D7" i="14"/>
  <c r="AJ8" i="14"/>
  <c r="AJ7" i="14"/>
  <c r="X9" i="14"/>
  <c r="BA14" i="14"/>
  <c r="BF12" i="14"/>
  <c r="BD12" i="14"/>
  <c r="BE12" i="14"/>
  <c r="BC12" i="14"/>
  <c r="BB7" i="14"/>
  <c r="BE7" i="14"/>
  <c r="BC7" i="14"/>
  <c r="BD7" i="14"/>
  <c r="BF7" i="14"/>
  <c r="N9" i="17"/>
  <c r="J9" i="17"/>
  <c r="L8" i="15"/>
  <c r="A3" i="16"/>
  <c r="A3" i="15"/>
  <c r="X12" i="14"/>
  <c r="AK12" i="14"/>
  <c r="AK7" i="14"/>
  <c r="Y7" i="14"/>
  <c r="X15" i="14"/>
  <c r="E41" i="18"/>
  <c r="G41" i="18"/>
  <c r="D47" i="18"/>
  <c r="F47" i="18"/>
  <c r="H47" i="18"/>
  <c r="E49" i="18"/>
  <c r="G49" i="18"/>
  <c r="F67" i="18"/>
  <c r="F68" i="18"/>
  <c r="D41" i="18"/>
  <c r="F41" i="18"/>
  <c r="G47" i="18"/>
  <c r="F49" i="18"/>
  <c r="F65" i="18"/>
  <c r="U8" i="15"/>
  <c r="K8" i="17"/>
  <c r="N8" i="17"/>
  <c r="M7" i="15"/>
  <c r="H8" i="17"/>
  <c r="D8" i="16"/>
  <c r="R8" i="15"/>
  <c r="J7" i="15"/>
  <c r="M8" i="16"/>
  <c r="N9" i="16"/>
  <c r="G7" i="15"/>
  <c r="H7" i="15"/>
  <c r="E8" i="16"/>
  <c r="F8" i="16"/>
  <c r="N14" i="17"/>
  <c r="N14" i="16"/>
  <c r="P7" i="15"/>
  <c r="X7" i="14"/>
  <c r="Q7" i="14"/>
  <c r="H16" i="14"/>
  <c r="N8" i="16"/>
  <c r="P13" i="15"/>
  <c r="R13" i="15"/>
  <c r="F14" i="17"/>
  <c r="I8" i="17"/>
  <c r="J8" i="17"/>
  <c r="I8" i="16"/>
  <c r="J8" i="16"/>
  <c r="S7" i="15"/>
  <c r="U7" i="15"/>
  <c r="L13" i="15"/>
  <c r="U12" i="14"/>
  <c r="U7" i="14"/>
  <c r="H7" i="14"/>
  <c r="AN16" i="14"/>
  <c r="AN12" i="14"/>
  <c r="BA16" i="14"/>
  <c r="BA12" i="14"/>
  <c r="BA7" i="14"/>
  <c r="AN7" i="14"/>
</calcChain>
</file>

<file path=xl/comments1.xml><?xml version="1.0" encoding="utf-8"?>
<comments xmlns="http://schemas.openxmlformats.org/spreadsheetml/2006/main">
  <authors>
    <author>MyPC</author>
    <author>User</author>
  </authors>
  <commentList>
    <comment ref="BE3" authorId="0">
      <text>
        <r>
          <rPr>
            <b/>
            <sz val="9"/>
            <color indexed="81"/>
            <rFont val="Tahoma"/>
            <family val="2"/>
            <charset val="163"/>
          </rPr>
          <t>MyPC:
10 tháng</t>
        </r>
        <r>
          <rPr>
            <sz val="9"/>
            <color indexed="81"/>
            <rFont val="Tahoma"/>
            <family val="2"/>
            <charset val="163"/>
          </rPr>
          <t xml:space="preserve">
</t>
        </r>
      </text>
    </comment>
    <comment ref="BB9" authorId="0">
      <text>
        <r>
          <rPr>
            <b/>
            <sz val="9"/>
            <color indexed="81"/>
            <rFont val="Tahoma"/>
            <family val="2"/>
            <charset val="163"/>
          </rPr>
          <t>MyPC:</t>
        </r>
        <r>
          <rPr>
            <sz val="9"/>
            <color indexed="81"/>
            <rFont val="Tahoma"/>
            <family val="2"/>
            <charset val="163"/>
          </rPr>
          <t xml:space="preserve">
129010: ươc 10 thang</t>
        </r>
      </text>
    </comment>
    <comment ref="BB10" authorId="0">
      <text>
        <r>
          <rPr>
            <b/>
            <sz val="9"/>
            <color indexed="81"/>
            <rFont val="Tahoma"/>
            <family val="2"/>
            <charset val="163"/>
          </rPr>
          <t>MyPC:</t>
        </r>
        <r>
          <rPr>
            <sz val="9"/>
            <color indexed="81"/>
            <rFont val="Tahoma"/>
            <family val="2"/>
            <charset val="163"/>
          </rPr>
          <t xml:space="preserve">
18216: uoc 10 tháng</t>
        </r>
      </text>
    </comment>
    <comment ref="C14" authorId="0">
      <text>
        <r>
          <rPr>
            <b/>
            <sz val="9"/>
            <color indexed="81"/>
            <rFont val="Tahoma"/>
            <family val="2"/>
            <charset val="163"/>
          </rPr>
          <t>MyPC:</t>
        </r>
        <r>
          <rPr>
            <sz val="9"/>
            <color indexed="81"/>
            <rFont val="Tahoma"/>
            <family val="2"/>
            <charset val="163"/>
          </rPr>
          <t xml:space="preserve">
110</t>
        </r>
      </text>
    </comment>
    <comment ref="BB14" authorId="1">
      <text>
        <r>
          <rPr>
            <b/>
            <sz val="9"/>
            <color indexed="81"/>
            <rFont val="Tahoma"/>
            <family val="2"/>
            <charset val="163"/>
          </rPr>
          <t xml:space="preserve">
Ước 5.900 lượt *6 ngày</t>
        </r>
      </text>
    </comment>
  </commentList>
</comments>
</file>

<file path=xl/sharedStrings.xml><?xml version="1.0" encoding="utf-8"?>
<sst xmlns="http://schemas.openxmlformats.org/spreadsheetml/2006/main" count="358" uniqueCount="187">
  <si>
    <t>Tuyến tỉnh</t>
  </si>
  <si>
    <t>BVĐK tỉnh</t>
  </si>
  <si>
    <t>BV LP</t>
  </si>
  <si>
    <t>BV YHCT</t>
  </si>
  <si>
    <t>Tuyến huyện</t>
  </si>
  <si>
    <t>TTYT Mường Tè</t>
  </si>
  <si>
    <t>TTYT Sìn Hồ</t>
  </si>
  <si>
    <t>TTYT Phong Thổ</t>
  </si>
  <si>
    <t>TTYT Tam Đường</t>
  </si>
  <si>
    <t>TTYT Than Uyên</t>
  </si>
  <si>
    <t>TTYT Tân Uyên</t>
  </si>
  <si>
    <t>I</t>
  </si>
  <si>
    <t>II</t>
  </si>
  <si>
    <t>KH</t>
  </si>
  <si>
    <t>%</t>
  </si>
  <si>
    <t>TTYT Nậm Nhùn</t>
  </si>
  <si>
    <t>TK</t>
  </si>
  <si>
    <t>Tổng cộng (I+II)</t>
  </si>
  <si>
    <t>Tháng 1</t>
  </si>
  <si>
    <t>Tháng 2</t>
  </si>
  <si>
    <t>Tháng 3</t>
  </si>
  <si>
    <t>Tháng 4</t>
  </si>
  <si>
    <t>Tháng 5</t>
  </si>
  <si>
    <t>Tháng 6</t>
  </si>
  <si>
    <t>Tháng 7</t>
  </si>
  <si>
    <t>Tháng 8</t>
  </si>
  <si>
    <t>Tháng 9</t>
  </si>
  <si>
    <t>Tháng 10</t>
  </si>
  <si>
    <t>Tháng 11</t>
  </si>
  <si>
    <t>Tháng 12</t>
  </si>
  <si>
    <t xml:space="preserve">TH </t>
  </si>
  <si>
    <t>Trong đó</t>
  </si>
  <si>
    <t>STT</t>
  </si>
  <si>
    <t>ĐƠN VỊ</t>
  </si>
  <si>
    <t>TỔNG SỐ LẦN KHÁM BỆNH</t>
  </si>
  <si>
    <t>KHÁM CHỮA BỆNH CHUNG</t>
  </si>
  <si>
    <t>ĐIỀU TRỊ NỘI TRÚ</t>
  </si>
  <si>
    <t>ĐIỀU TRỊ NGOẠI TRÚ</t>
  </si>
  <si>
    <t>CÔNG SUẤT SỬ DỤNG GB</t>
  </si>
  <si>
    <t>GIƯỜNG BỆNH</t>
  </si>
  <si>
    <t>Cùng kỳ năm trước</t>
  </si>
  <si>
    <t xml:space="preserve">Ghi chú: </t>
  </si>
  <si>
    <t>Cột cùng kỳ chỉ ghi số liệu 3 tháng, 6 tháng, 9 tháng và 12 tháng tương ứng với kỳ báo cáo</t>
  </si>
  <si>
    <t>So sánh cùng kỳ chỉ thực hiện báo cáo 3 tháng, 6 tháng, 9 tháng và 12 tháng</t>
  </si>
  <si>
    <t xml:space="preserve">SỐ NGÀY Đ/TRỊ NỘI TRÚ </t>
  </si>
  <si>
    <t>CÔNG SUẤT SD GIƯỜNG BỆNH KH</t>
  </si>
  <si>
    <t>CÔNG SUẤT SD GIƯỜNG BỆNH TK</t>
  </si>
  <si>
    <t>TTYTDP Thành phố</t>
  </si>
  <si>
    <t xml:space="preserve"> Riêng số điều trị nội trú và ngày điều trị nội trú không tính của trạm Y tế (Chỉ tính của Bệnh viện và PKĐKKV); Số ngày điều trị nội trú đề nghị đến thời điểm bao nhiêu tháng thì báo cáo số ngày cộng dồn của bấy nhiêu tháng.</t>
  </si>
  <si>
    <t>KHÁM CHỮA BỆNH CHUNG NĂM 2017</t>
  </si>
  <si>
    <t>Số ngày điều trị nội trú</t>
  </si>
  <si>
    <t>Trung tâm CDC</t>
  </si>
  <si>
    <t>Công suất sử dụng giường bệnh</t>
  </si>
  <si>
    <t>TỔNG SỐ LẦN KHÁM BỆNH NN</t>
  </si>
  <si>
    <t>ĐIỀU TRỊ NỘI TRÚ NN</t>
  </si>
  <si>
    <t>ĐIỀU TRỊ NGOẠI TRÚ NN</t>
  </si>
  <si>
    <t>Đạt % KH năm</t>
  </si>
  <si>
    <t>TT Kiểm soát BT</t>
  </si>
  <si>
    <t>KHÁM, CHỮA BỆNH TRẺ EM &lt; 6 TUỔI</t>
  </si>
  <si>
    <t>TỔNG SỐ LẦN KHÁM BỆNH TE &lt; 6 TUỔI</t>
  </si>
  <si>
    <t>ĐIỀU TRỊ NỘI TRÚ TE &lt; 6 TUỔI</t>
  </si>
  <si>
    <t>ĐIỀU TRỊ NGOẠI TRÚ TE &lt; 6 TUỔI</t>
  </si>
  <si>
    <t xml:space="preserve">Số danh mục kỹ thuật thực hiện được </t>
  </si>
  <si>
    <t>Số danh mục kỹ thuật được phê duyệt</t>
  </si>
  <si>
    <t>Đạt % thực hiện DMKT</t>
  </si>
  <si>
    <t>TTYT Thành phố</t>
  </si>
  <si>
    <t>TTYT Thành Phố</t>
  </si>
  <si>
    <t>BV Phổi</t>
  </si>
  <si>
    <t>Biểu số 02</t>
  </si>
  <si>
    <t>Biểu số 03</t>
  </si>
  <si>
    <t>Biểu số 04</t>
  </si>
  <si>
    <t xml:space="preserve">Chỉ tiêu </t>
  </si>
  <si>
    <t xml:space="preserve">Đơn vị tính </t>
  </si>
  <si>
    <t>TH Năm 2022</t>
  </si>
  <si>
    <t>Năm 2023</t>
  </si>
  <si>
    <t>Kế hoạch năm 2024</t>
  </si>
  <si>
    <t>So sánh</t>
  </si>
  <si>
    <t>Nguyên nhân các chỉ tiêu đạt thấp so với cùng kỳ năm trước, hoặc thấp so với KH và dự kiến không đạt kế hoạch</t>
  </si>
  <si>
    <t>Ghi chú</t>
  </si>
  <si>
    <t>Kế hoạch</t>
  </si>
  <si>
    <t>Ước TH 10 tháng  năm</t>
  </si>
  <si>
    <t>A</t>
  </si>
  <si>
    <t>B</t>
  </si>
  <si>
    <t>C</t>
  </si>
  <si>
    <t>Dân số-Kế hoạch hóa gia đình</t>
  </si>
  <si>
    <t xml:space="preserve">  Dân số </t>
  </si>
  <si>
    <t xml:space="preserve"> - Dân số trung bình</t>
  </si>
  <si>
    <t>Người</t>
  </si>
  <si>
    <t xml:space="preserve"> Trong đó :  </t>
  </si>
  <si>
    <t xml:space="preserve">                + Dân số thành thị</t>
  </si>
  <si>
    <t xml:space="preserve">                + Dân số nông thôn</t>
  </si>
  <si>
    <t>- Tuổi thọ trung bình</t>
  </si>
  <si>
    <t>tuổi</t>
  </si>
  <si>
    <t xml:space="preserve"> - Dân số là dân tộc thiểu số </t>
  </si>
  <si>
    <t xml:space="preserve"> - Tỷ lệ tăng dân số</t>
  </si>
  <si>
    <t xml:space="preserve"> - Tỷ lệ giảm sinh</t>
  </si>
  <si>
    <t xml:space="preserve"> - Tỷ lệ tăng dân số tự nhiên</t>
  </si>
  <si>
    <t>%o</t>
  </si>
  <si>
    <t xml:space="preserve"> - Tỷ số giới tính khi sinh (số bé trai so với 100 bé gái)</t>
  </si>
  <si>
    <t xml:space="preserve"> Kế hoạch hoá gia đình</t>
  </si>
  <si>
    <t xml:space="preserve">  - Tỷ lệ các cặp vợ chồng thực hiện các biện pháp tránh thai</t>
  </si>
  <si>
    <t xml:space="preserve"> - Tỷ lệ các bà mẹ sinh con thứ 3 trở lên so với tổng số bà mẹ sinh con trong năm</t>
  </si>
  <si>
    <t>Phát triển sự nghiệp y tế</t>
  </si>
  <si>
    <t>Cơ sở y tế và giường bệnh</t>
  </si>
  <si>
    <t>cơ sở</t>
  </si>
  <si>
    <t>- Bệnh viện đa khoa tỉnh</t>
  </si>
  <si>
    <t>BV</t>
  </si>
  <si>
    <t>- Bệnh viện chuyên khoa</t>
  </si>
  <si>
    <t>- Trung tâm KSBT tỉnh</t>
  </si>
  <si>
    <t>TT</t>
  </si>
  <si>
    <t xml:space="preserve"> - Trung tâm y tế huyện/thành phố</t>
  </si>
  <si>
    <t>- Cơ sở 2 huyện Sìn Hồ</t>
  </si>
  <si>
    <t xml:space="preserve"> - Phòng khám đa khoa khu vực</t>
  </si>
  <si>
    <t>PK</t>
  </si>
  <si>
    <t xml:space="preserve"> - Trạm y tế xã/phường/thị trấn</t>
  </si>
  <si>
    <t>Trạm</t>
  </si>
  <si>
    <t xml:space="preserve">Tỷ lệ trạm y tế xã được xây dựng kiên cố </t>
  </si>
  <si>
    <t>Cơ sở y tế tư nhân</t>
  </si>
  <si>
    <t>Tổng số giường bệnh quốc lập toàn tỉnh</t>
  </si>
  <si>
    <t>Giường</t>
  </si>
  <si>
    <t>- Giường bệnh tuyến tỉnh</t>
  </si>
  <si>
    <t>- Giường bệnh tuyến huyện</t>
  </si>
  <si>
    <t>+ Giường bệnh tại Bệnh viện/Trung tâm y tế huyện</t>
  </si>
  <si>
    <t>+ Giường Phòng khám đa khoa khu vực</t>
  </si>
  <si>
    <t>Số giường bệnh/10.000 dân (không tính giường trạm y tế xã)</t>
  </si>
  <si>
    <t>Trong đó : Số giường bệnh quốc lập/ 1 vạn dân</t>
  </si>
  <si>
    <t xml:space="preserve"> Giường </t>
  </si>
  <si>
    <t>Nhân lực y tế</t>
  </si>
  <si>
    <t>Tổng số cán bộ toàn ngành</t>
  </si>
  <si>
    <t xml:space="preserve">Trong đó: </t>
  </si>
  <si>
    <t>1.1</t>
  </si>
  <si>
    <t>Bác sỹ</t>
  </si>
  <si>
    <t>Số bác sỹ/vạn dân</t>
  </si>
  <si>
    <t>1/10,000</t>
  </si>
  <si>
    <t>1.2</t>
  </si>
  <si>
    <t>Dược sỹ đại học</t>
  </si>
  <si>
    <t>Tỷ lệ dược sỹ/vạn dân</t>
  </si>
  <si>
    <t>Tỷ lệ Trạm y tế xã, phường, thị trấn có bác sỹ (biên chế tại trạm)</t>
  </si>
  <si>
    <t>Tỷ lệ thôn, bản có nhân viên y tế thôn bản hoạt động</t>
  </si>
  <si>
    <t>III</t>
  </si>
  <si>
    <t>Một số chỉ tiêu tổng hợp</t>
  </si>
  <si>
    <t>Xã</t>
  </si>
  <si>
    <t>Trong đó: Số được công nhận mới trong năm</t>
  </si>
  <si>
    <t xml:space="preserve"> Tỷ lệ xã đạt tiêu chí quốc gia về y tế xã</t>
  </si>
  <si>
    <t xml:space="preserve"> Tỷ suất tử vong trẻ em &lt;1 tuổi trên 1.000 trẻ đẻ sống </t>
  </si>
  <si>
    <t xml:space="preserve"> %o </t>
  </si>
  <si>
    <t>chưa có số liệu không ước.</t>
  </si>
  <si>
    <t xml:space="preserve"> Tỷ suất tử vong trẻ em &lt;5 tuổi trên 1.000 trẻ đẻ sống </t>
  </si>
  <si>
    <t xml:space="preserve"> Tỷ lệ trẻ em dưới 5 tuổi bị suy dinh dưỡng (cân nặng theo tuổi) </t>
  </si>
  <si>
    <t xml:space="preserve"> % </t>
  </si>
  <si>
    <t xml:space="preserve"> Tỷ lệ trẻ em dưới 5 tuổi bị suy dinh dưỡng (cao theo tuổi) </t>
  </si>
  <si>
    <t xml:space="preserve"> Tỷ suất chết của người mẹ trong thời gian thai sản trên 100.000 trẻ đẻ sống </t>
  </si>
  <si>
    <t xml:space="preserve"> Tỷ lệ TE &lt; 1 tuổi được tiêm chủng đẩy đủ các loại Vacxin</t>
  </si>
  <si>
    <t>Không đạt tiến độ do thiếu vác xin từ Bộ Y tế</t>
  </si>
  <si>
    <t>Tỷ lệ phụ nữ đẻ được khám thai</t>
  </si>
  <si>
    <t>Tỷ lệ phụ nữ đẻ được cán bộ y tế đỡ</t>
  </si>
  <si>
    <t>Tỷ suất mắc các bệnh xã hội</t>
  </si>
  <si>
    <t xml:space="preserve"> - Sốt rét</t>
  </si>
  <si>
    <t xml:space="preserve"> - Lao</t>
  </si>
  <si>
    <t>1/100.000</t>
  </si>
  <si>
    <t xml:space="preserve"> - HIV/ AIDS</t>
  </si>
  <si>
    <t>Tỷ lệ bao phủ bảo hiểm y tế</t>
  </si>
  <si>
    <t>Tỷ lệ dân số được quản lý bằng hồ sơ sức khỏe điện tử</t>
  </si>
  <si>
    <t>Tỷ lệ hài lòng của người dân với dịch vụ y tế</t>
  </si>
  <si>
    <t xml:space="preserve">chưa đánh giá </t>
  </si>
  <si>
    <t>Điều trị thay thế các chất dạng thuốc phiện bằng Methadone</t>
  </si>
  <si>
    <t>KHÁM CHỮA BỆNH CHUNG NĂM 2023</t>
  </si>
  <si>
    <t>KHÁM CHỮA BỆNH TRẺ EM &lt; 6 TUỔI NĂM 2023</t>
  </si>
  <si>
    <t>Cùng kỳ năm 2022</t>
  </si>
  <si>
    <t>Đạt % năm 2023</t>
  </si>
  <si>
    <t xml:space="preserve">KHÁM CHỮA BỆNH NGƯỜI NGHÈO VÀ DÂN TỘC THIỂU SỐ NĂM 2023 </t>
  </si>
  <si>
    <t xml:space="preserve">KHÁM, CHỮA BỆNH </t>
  </si>
  <si>
    <t>CÁC CHỈ TIÊU THỰC HIỆN TRONG NĂM 2023 NHIỆM VỤ NĂM 2024</t>
  </si>
  <si>
    <t>(Kèm theo báo cáo số               /BC-SYT ngày        tháng 01 năm 2024 của Sở Y tế Lai Châu)</t>
  </si>
  <si>
    <t>Biểu số 01</t>
  </si>
  <si>
    <t xml:space="preserve"> Số xã đạt tiêu chí quốc gia về y tế xã QĐ 1300/QĐ-BYT ngày 9/3/2023</t>
  </si>
  <si>
    <t>Năm 2023 Tiến hành chấm theo Bộ tiêu chí quốc gia mới theo QĐ 1300/QĐ-BYT đến giai đoạn 2030</t>
  </si>
  <si>
    <t>Trên địa bàn toàn tỉnh có 650 bs đạt 13,28%  (trong đó công lập 612, ngoài công lập 38) trong năm 2023 có 11 BS (chuyển công tác 05, nghỉ hưu 01, chết 01, kỉ luật buộc thôi việc 02; xin thôi việc theo nguyện vọng: 02)</t>
  </si>
  <si>
    <t>Công tác phòng chống Lao được sự quan tâm phối kết hợp của Bệnh viện Phổi Trung ương cùng tổ chức FIT trong công tác khám sàng lọc phát hiện bệnh nhân Lao mới thể tiềm tàng chưa biểu hiện bệnh. Do vậy số bệnh nhân Lao được phát hiện tăng.</t>
  </si>
  <si>
    <t>Không đạt</t>
  </si>
  <si>
    <r>
      <t>%</t>
    </r>
    <r>
      <rPr>
        <i/>
        <sz val="8"/>
        <rFont val="Times New Roman"/>
        <family val="1"/>
      </rPr>
      <t>o</t>
    </r>
  </si>
  <si>
    <r>
      <t xml:space="preserve">Số cơ sở y tế quốc lập </t>
    </r>
    <r>
      <rPr>
        <vertAlign val="superscript"/>
        <sz val="8"/>
        <rFont val="Times New Roman"/>
        <family val="1"/>
      </rPr>
      <t>(*)</t>
    </r>
  </si>
  <si>
    <r>
      <t xml:space="preserve">Không đạt Nhân viên y tế thôn bản bỏ ngày càng tăng do mức phụ cấp thấp họ không muốn làm </t>
    </r>
    <r>
      <rPr>
        <i/>
        <sz val="8"/>
        <rFont val="Times New Roman"/>
        <family val="1"/>
      </rPr>
      <t>(trong khi các đối tượng nguồn để cho đi đào tạo họ cũng không muốn tham gia lên gặp rất nhiều khó khăn)</t>
    </r>
  </si>
  <si>
    <t>Không đạt do tâm lý sinh trai nối dõi dòng họ, một số gia đình kinh tế phát triển họ muốn sinh thêm con</t>
  </si>
  <si>
    <t>TH cả năm</t>
  </si>
  <si>
    <t>TH 12 tháng năm 2023/TH 12 tháng năm 2022</t>
  </si>
  <si>
    <t>TH 12 tháng năm 2023/KH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</si>
</sst>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00\ _₫_-;\-* #,##0.00\ _₫_-;_-* &quot;-&quot;??\ _₫_-;_-@_-"/>
    <numFmt numFmtId="165" formatCode="_(* #,##0.0_);_(* \(#,##0.0\);_(* &quot;-&quot;??_);_(@_)"/>
    <numFmt numFmtId="166" formatCode="_(* #,##0_);_(* \(#,##0\);_(* &quot;-&quot;??_);_(@_)"/>
    <numFmt numFmtId="167" formatCode="0.0"/>
    <numFmt numFmtId="168" formatCode="_(* #.##._);_(* \(#.##.\);_(* &quot;-&quot;??_);_(@_ⴆ"/>
    <numFmt numFmtId="169" formatCode="_(* #.##0.0_);_(* \(#.##0.0\);_(* &quot;-&quot;??_);_(@_)"/>
    <numFmt numFmtId="170" formatCode="_-* #,##0\ _₫_-;\-* #,##0\ _₫_-;_-* &quot;-&quot;??\ _₫_-;_-@_-"/>
    <numFmt numFmtId="171" formatCode="_-* #,##0.0\ _₫_-;\-* #,##0.0\ _₫_-;_-* &quot;-&quot;??\ _₫_-;_-@_-"/>
    <numFmt numFmtId="172" formatCode="#,##0.00;[Red]#,##0.00"/>
  </numFmts>
  <fonts count="54">
    <font>
      <sz val="10"/>
      <name val="Arial"/>
    </font>
    <font>
      <sz val="10"/>
      <name val="Arial"/>
    </font>
    <font>
      <b/>
      <sz val="12"/>
      <name val="Times New Roman"/>
      <family val="1"/>
    </font>
    <font>
      <sz val="12"/>
      <name val="Arial"/>
      <family val="2"/>
    </font>
    <font>
      <b/>
      <sz val="12"/>
      <name val="Arial"/>
      <family val="2"/>
    </font>
    <font>
      <sz val="12"/>
      <name val="Times New Roman"/>
      <family val="1"/>
    </font>
    <font>
      <i/>
      <sz val="12"/>
      <name val="Times New Roman"/>
      <family val="1"/>
      <charset val="163"/>
    </font>
    <font>
      <sz val="12"/>
      <name val="Times New Roman"/>
      <family val="1"/>
      <charset val="163"/>
    </font>
    <font>
      <sz val="10"/>
      <name val="Arial"/>
      <family val="2"/>
    </font>
    <font>
      <b/>
      <sz val="12"/>
      <color indexed="17"/>
      <name val="Times New Roman"/>
      <family val="1"/>
    </font>
    <font>
      <b/>
      <u val="singleAccounting"/>
      <sz val="12"/>
      <color indexed="16"/>
      <name val="Times New Roman"/>
      <family val="1"/>
    </font>
    <font>
      <b/>
      <sz val="12"/>
      <color indexed="16"/>
      <name val="Times New Roman"/>
      <family val="1"/>
    </font>
    <font>
      <sz val="12"/>
      <color indexed="17"/>
      <name val="Times New Roman"/>
      <family val="1"/>
    </font>
    <font>
      <b/>
      <u val="singleAccounting"/>
      <sz val="12"/>
      <color indexed="16"/>
      <name val="Arial"/>
      <family val="2"/>
    </font>
    <font>
      <i/>
      <sz val="10"/>
      <color indexed="62"/>
      <name val="Times New Roman"/>
      <family val="1"/>
    </font>
    <font>
      <b/>
      <i/>
      <sz val="10"/>
      <color indexed="62"/>
      <name val="Times New Roman"/>
      <family val="1"/>
      <charset val="163"/>
    </font>
    <font>
      <i/>
      <sz val="10"/>
      <color indexed="62"/>
      <name val="Arial"/>
      <family val="2"/>
    </font>
    <font>
      <i/>
      <sz val="10"/>
      <color indexed="62"/>
      <name val="Times New Roman"/>
      <family val="1"/>
      <charset val="163"/>
    </font>
    <font>
      <i/>
      <sz val="12"/>
      <color indexed="62"/>
      <name val="Times New Roman"/>
      <family val="1"/>
      <charset val="163"/>
    </font>
    <font>
      <b/>
      <i/>
      <sz val="12"/>
      <color indexed="62"/>
      <name val="Times New Roman"/>
      <family val="1"/>
    </font>
    <font>
      <b/>
      <i/>
      <u val="singleAccounting"/>
      <sz val="12"/>
      <color indexed="62"/>
      <name val="Times New Roman"/>
      <family val="1"/>
    </font>
    <font>
      <b/>
      <i/>
      <u/>
      <sz val="12"/>
      <color indexed="62"/>
      <name val="Times New Roman"/>
      <family val="1"/>
      <charset val="163"/>
    </font>
    <font>
      <b/>
      <u val="singleAccounting"/>
      <sz val="12"/>
      <color indexed="62"/>
      <name val="Times New Roman"/>
      <family val="1"/>
    </font>
    <font>
      <b/>
      <i/>
      <u val="singleAccounting"/>
      <sz val="12"/>
      <color indexed="62"/>
      <name val="Arial"/>
      <family val="2"/>
    </font>
    <font>
      <b/>
      <i/>
      <u val="singleAccounting"/>
      <sz val="12"/>
      <color indexed="62"/>
      <name val="Times New Roman"/>
      <family val="1"/>
      <charset val="163"/>
    </font>
    <font>
      <sz val="12"/>
      <color indexed="8"/>
      <name val="Times New Roman"/>
      <family val="1"/>
    </font>
    <font>
      <b/>
      <i/>
      <u val="singleAccounting"/>
      <sz val="12"/>
      <name val="Times New Roman"/>
      <family val="1"/>
    </font>
    <font>
      <sz val="9"/>
      <color indexed="81"/>
      <name val="Tahoma"/>
      <family val="2"/>
      <charset val="163"/>
    </font>
    <font>
      <b/>
      <sz val="9"/>
      <color indexed="81"/>
      <name val="Tahoma"/>
      <family val="2"/>
      <charset val="163"/>
    </font>
    <font>
      <sz val="9"/>
      <color indexed="81"/>
      <name val="Tahoma"/>
      <family val="2"/>
      <charset val="163"/>
    </font>
    <font>
      <b/>
      <sz val="9"/>
      <color indexed="81"/>
      <name val="Tahoma"/>
      <family val="2"/>
      <charset val="163"/>
    </font>
    <font>
      <b/>
      <sz val="9"/>
      <color indexed="81"/>
      <name val="Tahoma"/>
      <family val="2"/>
      <charset val="163"/>
    </font>
    <font>
      <sz val="10"/>
      <name val="Arial"/>
      <family val="2"/>
    </font>
    <font>
      <b/>
      <sz val="10"/>
      <name val="Times New Roman"/>
      <family val="1"/>
    </font>
    <font>
      <sz val="10"/>
      <name val="Times New Roman"/>
      <family val="1"/>
    </font>
    <font>
      <b/>
      <i/>
      <sz val="10"/>
      <name val="Times New Roman"/>
      <family val="1"/>
    </font>
    <font>
      <b/>
      <sz val="8"/>
      <name val="Times New Roman"/>
      <family val="1"/>
    </font>
    <font>
      <sz val="8"/>
      <name val="Times New Roman"/>
      <family val="1"/>
    </font>
    <font>
      <b/>
      <sz val="14"/>
      <name val="Times New Roman"/>
      <family val="1"/>
    </font>
    <font>
      <sz val="12"/>
      <name val=".VnTime"/>
      <family val="2"/>
    </font>
    <font>
      <i/>
      <sz val="12"/>
      <name val="Times New Roman"/>
      <family val="1"/>
    </font>
    <font>
      <b/>
      <sz val="6"/>
      <name val="Times New Roman"/>
      <family val="1"/>
    </font>
    <font>
      <sz val="6"/>
      <name val="Times New Roman"/>
      <family val="1"/>
    </font>
    <font>
      <i/>
      <sz val="8"/>
      <name val="Times New Roman"/>
      <family val="1"/>
    </font>
    <font>
      <b/>
      <sz val="11"/>
      <name val="Times New Roman"/>
      <family val="1"/>
    </font>
    <font>
      <i/>
      <sz val="10"/>
      <name val="Times New Roman"/>
      <family val="1"/>
    </font>
    <font>
      <vertAlign val="superscript"/>
      <sz val="8"/>
      <name val="Times New Roman"/>
      <family val="1"/>
    </font>
    <font>
      <b/>
      <i/>
      <sz val="8"/>
      <name val="Times New Roman"/>
      <family val="1"/>
    </font>
    <font>
      <sz val="9"/>
      <name val="Times New Roman"/>
      <family val="1"/>
    </font>
    <font>
      <i/>
      <sz val="12"/>
      <color theme="3"/>
      <name val="Times New Roman"/>
      <family val="1"/>
      <charset val="163"/>
    </font>
    <font>
      <i/>
      <sz val="20"/>
      <color rgb="FFFF0000"/>
      <name val="Times New Roman"/>
      <family val="1"/>
      <charset val="163"/>
    </font>
    <font>
      <sz val="12"/>
      <color rgb="FFFF0000"/>
      <name val="Times New Roman"/>
      <family val="1"/>
    </font>
    <font>
      <sz val="10"/>
      <color rgb="FFFF0000"/>
      <name val="Times New Roman"/>
      <family val="1"/>
    </font>
    <font>
      <i/>
      <sz val="8"/>
      <color rgb="FFFF0000"/>
      <name val="Times New Roman"/>
      <family val="1"/>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8" tint="0.59999389629810485"/>
        <bgColor indexed="64"/>
      </patternFill>
    </fill>
    <fill>
      <patternFill patternType="solid">
        <fgColor rgb="FFCCFFFF"/>
        <bgColor indexed="64"/>
      </patternFill>
    </fill>
    <fill>
      <patternFill patternType="solid">
        <fgColor rgb="FFC0C0C0"/>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43"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32" fillId="0" borderId="0" applyFont="0" applyFill="0" applyBorder="0" applyAlignment="0" applyProtection="0"/>
    <xf numFmtId="0" fontId="8" fillId="0" borderId="0"/>
    <xf numFmtId="1" fontId="39" fillId="0" borderId="0"/>
    <xf numFmtId="0" fontId="39" fillId="0" borderId="0"/>
    <xf numFmtId="0" fontId="39" fillId="0" borderId="0"/>
  </cellStyleXfs>
  <cellXfs count="311">
    <xf numFmtId="0" fontId="0" fillId="0" borderId="0" xfId="0"/>
    <xf numFmtId="0" fontId="5" fillId="2" borderId="0" xfId="0" applyFont="1" applyFill="1" applyProtection="1">
      <protection locked="0"/>
    </xf>
    <xf numFmtId="166" fontId="5" fillId="2" borderId="0" xfId="1" applyNumberFormat="1" applyFont="1" applyFill="1" applyAlignment="1" applyProtection="1">
      <alignment horizontal="center"/>
      <protection locked="0"/>
    </xf>
    <xf numFmtId="0" fontId="5" fillId="2" borderId="0" xfId="0" applyFont="1" applyFill="1" applyAlignment="1" applyProtection="1">
      <alignment horizontal="center"/>
      <protection locked="0"/>
    </xf>
    <xf numFmtId="0" fontId="3" fillId="2" borderId="0" xfId="0" applyFont="1" applyFill="1" applyProtection="1">
      <protection locked="0"/>
    </xf>
    <xf numFmtId="166" fontId="2" fillId="3" borderId="1" xfId="1" applyNumberFormat="1" applyFont="1" applyFill="1" applyBorder="1" applyAlignment="1" applyProtection="1">
      <alignment horizontal="center" vertical="center" wrapText="1"/>
    </xf>
    <xf numFmtId="0" fontId="5" fillId="0" borderId="0" xfId="0" applyFont="1" applyFill="1" applyProtection="1">
      <protection locked="0"/>
    </xf>
    <xf numFmtId="0" fontId="3" fillId="0" borderId="0" xfId="0" applyFont="1" applyFill="1" applyProtection="1">
      <protection locked="0"/>
    </xf>
    <xf numFmtId="166" fontId="5" fillId="0" borderId="0" xfId="1" applyNumberFormat="1" applyFont="1" applyFill="1" applyAlignment="1" applyProtection="1">
      <alignment horizontal="center"/>
      <protection locked="0"/>
    </xf>
    <xf numFmtId="166" fontId="5" fillId="0" borderId="0" xfId="1" applyNumberFormat="1" applyFont="1" applyFill="1" applyAlignment="1" applyProtection="1">
      <protection locked="0"/>
    </xf>
    <xf numFmtId="0" fontId="5" fillId="0" borderId="0" xfId="0" applyFont="1" applyFill="1" applyAlignment="1" applyProtection="1">
      <protection locked="0"/>
    </xf>
    <xf numFmtId="0" fontId="5" fillId="0" borderId="0" xfId="0" applyFont="1" applyFill="1" applyAlignment="1" applyProtection="1">
      <alignment horizontal="center"/>
      <protection locked="0"/>
    </xf>
    <xf numFmtId="0" fontId="5" fillId="0" borderId="0" xfId="0" applyFont="1" applyFill="1" applyAlignment="1" applyProtection="1">
      <alignment horizontal="right"/>
      <protection locked="0"/>
    </xf>
    <xf numFmtId="0" fontId="14" fillId="0" borderId="0" xfId="0" applyFont="1" applyFill="1" applyProtection="1">
      <protection locked="0"/>
    </xf>
    <xf numFmtId="0" fontId="15" fillId="2" borderId="0" xfId="0" applyFont="1" applyFill="1" applyProtection="1">
      <protection locked="0"/>
    </xf>
    <xf numFmtId="166" fontId="14" fillId="0" borderId="0" xfId="1" applyNumberFormat="1" applyFont="1" applyFill="1" applyProtection="1">
      <protection locked="0"/>
    </xf>
    <xf numFmtId="0" fontId="17" fillId="2" borderId="0" xfId="0" applyFont="1" applyFill="1" applyProtection="1">
      <protection locked="0"/>
    </xf>
    <xf numFmtId="0" fontId="7" fillId="2" borderId="0" xfId="0" applyFont="1" applyFill="1" applyProtection="1">
      <protection locked="0"/>
    </xf>
    <xf numFmtId="2" fontId="18" fillId="0" borderId="0" xfId="0" applyNumberFormat="1" applyFont="1" applyFill="1" applyBorder="1" applyAlignment="1" applyProtection="1">
      <protection locked="0"/>
    </xf>
    <xf numFmtId="0" fontId="4" fillId="0" borderId="0" xfId="0" applyFont="1" applyFill="1" applyProtection="1">
      <protection locked="0"/>
    </xf>
    <xf numFmtId="166" fontId="2" fillId="3" borderId="1" xfId="1" applyNumberFormat="1" applyFont="1" applyFill="1" applyBorder="1" applyAlignment="1" applyProtection="1">
      <alignment horizontal="center" vertical="center" wrapText="1"/>
      <protection locked="0"/>
    </xf>
    <xf numFmtId="165" fontId="10" fillId="0" borderId="2" xfId="1" applyNumberFormat="1" applyFont="1" applyFill="1" applyBorder="1" applyAlignment="1" applyProtection="1">
      <alignment horizontal="center" vertical="center"/>
      <protection locked="0"/>
    </xf>
    <xf numFmtId="165" fontId="10" fillId="0" borderId="3" xfId="1" applyNumberFormat="1" applyFont="1" applyFill="1" applyBorder="1" applyAlignment="1" applyProtection="1">
      <alignment horizontal="center" vertical="center"/>
      <protection locked="0"/>
    </xf>
    <xf numFmtId="0" fontId="13" fillId="0" borderId="0" xfId="0" applyFont="1" applyFill="1" applyProtection="1">
      <protection locked="0"/>
    </xf>
    <xf numFmtId="43" fontId="7" fillId="0" borderId="2" xfId="1" applyNumberFormat="1" applyFont="1" applyFill="1" applyBorder="1" applyAlignment="1" applyProtection="1">
      <alignment horizontal="center" vertical="center"/>
      <protection locked="0"/>
    </xf>
    <xf numFmtId="165" fontId="9" fillId="0" borderId="2" xfId="1" applyNumberFormat="1" applyFont="1" applyFill="1" applyBorder="1" applyAlignment="1" applyProtection="1">
      <alignment horizontal="center" vertical="center"/>
      <protection locked="0"/>
    </xf>
    <xf numFmtId="43" fontId="7" fillId="0" borderId="4" xfId="1" applyNumberFormat="1" applyFont="1" applyFill="1" applyBorder="1" applyAlignment="1" applyProtection="1">
      <alignment horizontal="center" vertical="center"/>
      <protection locked="0"/>
    </xf>
    <xf numFmtId="0" fontId="16" fillId="2" borderId="0" xfId="0" applyFont="1" applyFill="1" applyProtection="1">
      <protection locked="0"/>
    </xf>
    <xf numFmtId="166" fontId="5" fillId="2" borderId="0" xfId="1" applyNumberFormat="1" applyFont="1" applyFill="1" applyAlignment="1" applyProtection="1">
      <protection locked="0"/>
    </xf>
    <xf numFmtId="43" fontId="5" fillId="0" borderId="0" xfId="0" applyNumberFormat="1" applyFont="1" applyFill="1" applyAlignment="1" applyProtection="1">
      <protection locked="0"/>
    </xf>
    <xf numFmtId="43" fontId="5" fillId="0" borderId="0" xfId="0" applyNumberFormat="1" applyFont="1" applyFill="1" applyProtection="1">
      <protection locked="0"/>
    </xf>
    <xf numFmtId="166" fontId="5" fillId="2" borderId="0" xfId="1" applyNumberFormat="1" applyFont="1" applyFill="1" applyProtection="1">
      <protection locked="0"/>
    </xf>
    <xf numFmtId="166" fontId="5" fillId="0" borderId="0" xfId="1" applyNumberFormat="1" applyFont="1" applyFill="1" applyProtection="1">
      <protection locked="0"/>
    </xf>
    <xf numFmtId="43" fontId="5" fillId="0" borderId="0" xfId="0" applyNumberFormat="1" applyFont="1" applyFill="1" applyAlignment="1" applyProtection="1">
      <alignment horizontal="center"/>
      <protection locked="0"/>
    </xf>
    <xf numFmtId="43" fontId="3" fillId="0" borderId="0" xfId="0" applyNumberFormat="1" applyFont="1" applyFill="1" applyProtection="1">
      <protection locked="0"/>
    </xf>
    <xf numFmtId="166" fontId="3" fillId="2" borderId="0" xfId="1" applyNumberFormat="1" applyFont="1" applyFill="1" applyProtection="1">
      <protection locked="0"/>
    </xf>
    <xf numFmtId="166" fontId="3" fillId="0" borderId="0" xfId="1" applyNumberFormat="1" applyFont="1" applyFill="1" applyProtection="1">
      <protection locked="0"/>
    </xf>
    <xf numFmtId="165" fontId="22" fillId="0" borderId="2" xfId="1" applyNumberFormat="1" applyFont="1" applyFill="1" applyBorder="1" applyAlignment="1" applyProtection="1">
      <alignment horizontal="center" vertical="center"/>
      <protection locked="0"/>
    </xf>
    <xf numFmtId="0" fontId="23" fillId="0" borderId="0" xfId="0" applyFont="1" applyFill="1" applyProtection="1">
      <protection locked="0"/>
    </xf>
    <xf numFmtId="166" fontId="11" fillId="3" borderId="2" xfId="1" applyNumberFormat="1" applyFont="1" applyFill="1" applyBorder="1" applyAlignment="1" applyProtection="1">
      <alignment horizontal="center" vertical="center"/>
    </xf>
    <xf numFmtId="166" fontId="10" fillId="3" borderId="2" xfId="1" applyNumberFormat="1" applyFont="1" applyFill="1" applyBorder="1" applyAlignment="1" applyProtection="1">
      <alignment horizontal="center" vertical="center"/>
    </xf>
    <xf numFmtId="166" fontId="19" fillId="3" borderId="2" xfId="1" applyNumberFormat="1" applyFont="1" applyFill="1" applyBorder="1" applyAlignment="1" applyProtection="1">
      <alignment horizontal="center" vertical="center"/>
    </xf>
    <xf numFmtId="166" fontId="19" fillId="3" borderId="2" xfId="1" applyNumberFormat="1" applyFont="1" applyFill="1" applyBorder="1" applyAlignment="1" applyProtection="1">
      <alignment horizontal="left" vertical="center"/>
    </xf>
    <xf numFmtId="166" fontId="24" fillId="3" borderId="2" xfId="1" applyNumberFormat="1" applyFont="1" applyFill="1" applyBorder="1" applyAlignment="1" applyProtection="1">
      <alignment horizontal="center" vertical="center"/>
    </xf>
    <xf numFmtId="166" fontId="20" fillId="3" borderId="2" xfId="1" applyNumberFormat="1" applyFont="1" applyFill="1" applyBorder="1" applyAlignment="1" applyProtection="1">
      <alignment horizontal="center" vertical="center"/>
    </xf>
    <xf numFmtId="43" fontId="21" fillId="3" borderId="2" xfId="1" applyNumberFormat="1" applyFont="1" applyFill="1" applyBorder="1" applyAlignment="1" applyProtection="1">
      <alignment horizontal="center" vertical="center"/>
    </xf>
    <xf numFmtId="166" fontId="22" fillId="3" borderId="2" xfId="1" applyNumberFormat="1" applyFont="1" applyFill="1" applyBorder="1" applyAlignment="1" applyProtection="1">
      <alignment horizontal="center" vertical="center"/>
    </xf>
    <xf numFmtId="166" fontId="5" fillId="3" borderId="2" xfId="1" applyNumberFormat="1" applyFont="1" applyFill="1" applyBorder="1" applyAlignment="1" applyProtection="1">
      <alignment horizontal="center" vertical="center"/>
    </xf>
    <xf numFmtId="166" fontId="5" fillId="3" borderId="2" xfId="1" applyNumberFormat="1" applyFont="1" applyFill="1" applyBorder="1" applyAlignment="1" applyProtection="1">
      <alignment horizontal="left" vertical="center"/>
    </xf>
    <xf numFmtId="166" fontId="5" fillId="3" borderId="5" xfId="1" applyNumberFormat="1" applyFont="1" applyFill="1" applyBorder="1" applyAlignment="1" applyProtection="1">
      <alignment horizontal="center" vertical="center"/>
    </xf>
    <xf numFmtId="166" fontId="5" fillId="3" borderId="5" xfId="1" applyNumberFormat="1" applyFont="1" applyFill="1" applyBorder="1" applyAlignment="1" applyProtection="1">
      <alignment horizontal="left" vertical="center"/>
    </xf>
    <xf numFmtId="166" fontId="5" fillId="3" borderId="4" xfId="1" applyNumberFormat="1" applyFont="1" applyFill="1" applyBorder="1" applyAlignment="1" applyProtection="1">
      <alignment horizontal="left" vertical="center"/>
    </xf>
    <xf numFmtId="166" fontId="7" fillId="3" borderId="2" xfId="1" applyNumberFormat="1" applyFont="1" applyFill="1" applyBorder="1" applyAlignment="1" applyProtection="1">
      <alignment horizontal="center" vertical="center"/>
    </xf>
    <xf numFmtId="166" fontId="5" fillId="4" borderId="2" xfId="1" applyNumberFormat="1" applyFont="1" applyFill="1" applyBorder="1" applyAlignment="1" applyProtection="1">
      <alignment horizontal="center" vertical="center"/>
      <protection locked="0"/>
    </xf>
    <xf numFmtId="166" fontId="12" fillId="4" borderId="2" xfId="1" applyNumberFormat="1" applyFont="1" applyFill="1" applyBorder="1" applyAlignment="1" applyProtection="1">
      <alignment horizontal="center" vertical="center"/>
      <protection locked="0"/>
    </xf>
    <xf numFmtId="43" fontId="7" fillId="4" borderId="2" xfId="1" applyNumberFormat="1" applyFont="1" applyFill="1" applyBorder="1" applyAlignment="1" applyProtection="1">
      <alignment horizontal="center" vertical="center"/>
      <protection locked="0"/>
    </xf>
    <xf numFmtId="166" fontId="5" fillId="4" borderId="6" xfId="1" applyNumberFormat="1" applyFont="1" applyFill="1" applyBorder="1" applyProtection="1">
      <protection locked="0"/>
    </xf>
    <xf numFmtId="43" fontId="7" fillId="4" borderId="4" xfId="1" applyNumberFormat="1" applyFont="1" applyFill="1" applyBorder="1" applyAlignment="1" applyProtection="1">
      <alignment horizontal="center" vertical="center"/>
      <protection locked="0"/>
    </xf>
    <xf numFmtId="166" fontId="5" fillId="4" borderId="5" xfId="1" applyNumberFormat="1" applyFont="1" applyFill="1" applyBorder="1" applyAlignment="1" applyProtection="1">
      <alignment horizontal="center" vertical="center"/>
      <protection locked="0"/>
    </xf>
    <xf numFmtId="166" fontId="5" fillId="4" borderId="4" xfId="1" applyNumberFormat="1" applyFont="1" applyFill="1" applyBorder="1" applyAlignment="1" applyProtection="1">
      <alignment horizontal="center" vertical="center"/>
      <protection locked="0"/>
    </xf>
    <xf numFmtId="166" fontId="5" fillId="4" borderId="6" xfId="1" applyNumberFormat="1" applyFont="1" applyFill="1" applyBorder="1" applyAlignment="1" applyProtection="1">
      <alignment horizontal="center" vertical="center"/>
      <protection locked="0"/>
    </xf>
    <xf numFmtId="166" fontId="25" fillId="4" borderId="2" xfId="1" applyNumberFormat="1" applyFont="1" applyFill="1" applyBorder="1" applyAlignment="1" applyProtection="1">
      <alignment horizontal="center" vertical="center"/>
      <protection locked="0"/>
    </xf>
    <xf numFmtId="166" fontId="26" fillId="3" borderId="2" xfId="1" applyNumberFormat="1" applyFont="1" applyFill="1" applyBorder="1" applyAlignment="1" applyProtection="1">
      <alignment horizontal="center" vertical="center"/>
    </xf>
    <xf numFmtId="165" fontId="2" fillId="0" borderId="2" xfId="1" applyNumberFormat="1" applyFont="1" applyFill="1" applyBorder="1" applyAlignment="1" applyProtection="1">
      <alignment horizontal="center" vertical="center"/>
      <protection locked="0"/>
    </xf>
    <xf numFmtId="165" fontId="2" fillId="0" borderId="6" xfId="1" applyNumberFormat="1" applyFont="1" applyFill="1" applyBorder="1" applyAlignment="1" applyProtection="1">
      <alignment horizontal="center" vertical="center"/>
      <protection locked="0"/>
    </xf>
    <xf numFmtId="165" fontId="2" fillId="0" borderId="4" xfId="1" applyNumberFormat="1" applyFont="1" applyFill="1" applyBorder="1" applyAlignment="1" applyProtection="1">
      <alignment horizontal="center" vertical="center"/>
      <protection locked="0"/>
    </xf>
    <xf numFmtId="166" fontId="49" fillId="5" borderId="0" xfId="1" applyNumberFormat="1" applyFont="1" applyFill="1" applyAlignment="1" applyProtection="1">
      <alignment horizontal="center"/>
      <protection locked="0"/>
    </xf>
    <xf numFmtId="0" fontId="49" fillId="5" borderId="0" xfId="0" applyFont="1" applyFill="1" applyProtection="1">
      <protection locked="0"/>
    </xf>
    <xf numFmtId="0" fontId="18" fillId="2" borderId="0" xfId="0" applyFont="1" applyFill="1" applyProtection="1">
      <protection locked="0"/>
    </xf>
    <xf numFmtId="166" fontId="49" fillId="5" borderId="7" xfId="1" applyNumberFormat="1" applyFont="1" applyFill="1" applyBorder="1" applyAlignment="1" applyProtection="1">
      <protection locked="0"/>
    </xf>
    <xf numFmtId="166" fontId="18" fillId="2" borderId="0" xfId="1" applyNumberFormat="1" applyFont="1" applyFill="1" applyAlignment="1" applyProtection="1">
      <alignment horizontal="center"/>
      <protection locked="0"/>
    </xf>
    <xf numFmtId="2" fontId="18" fillId="0" borderId="7" xfId="0" applyNumberFormat="1" applyFont="1" applyFill="1" applyBorder="1" applyAlignment="1" applyProtection="1">
      <protection locked="0"/>
    </xf>
    <xf numFmtId="166" fontId="18" fillId="0" borderId="0" xfId="1" applyNumberFormat="1" applyFont="1" applyFill="1" applyAlignment="1" applyProtection="1">
      <alignment horizontal="center"/>
      <protection locked="0"/>
    </xf>
    <xf numFmtId="166" fontId="18" fillId="2" borderId="0" xfId="1" applyNumberFormat="1" applyFont="1" applyFill="1" applyProtection="1">
      <protection locked="0"/>
    </xf>
    <xf numFmtId="166" fontId="49" fillId="5" borderId="0" xfId="1" applyNumberFormat="1" applyFont="1" applyFill="1" applyBorder="1" applyAlignment="1" applyProtection="1">
      <protection locked="0"/>
    </xf>
    <xf numFmtId="166" fontId="7" fillId="0" borderId="0" xfId="1" applyNumberFormat="1" applyFont="1" applyFill="1" applyAlignment="1" applyProtection="1">
      <alignment horizontal="center"/>
      <protection locked="0"/>
    </xf>
    <xf numFmtId="166" fontId="7" fillId="3" borderId="6" xfId="1" applyNumberFormat="1" applyFont="1" applyFill="1" applyBorder="1" applyAlignment="1" applyProtection="1">
      <alignment horizontal="center" vertical="center"/>
    </xf>
    <xf numFmtId="166" fontId="5" fillId="3" borderId="6" xfId="1" applyNumberFormat="1" applyFont="1" applyFill="1" applyBorder="1" applyAlignment="1" applyProtection="1">
      <alignment vertical="center"/>
    </xf>
    <xf numFmtId="166" fontId="5" fillId="4" borderId="6" xfId="1" applyNumberFormat="1" applyFont="1" applyFill="1" applyBorder="1" applyAlignment="1" applyProtection="1">
      <alignment vertical="center"/>
      <protection locked="0"/>
    </xf>
    <xf numFmtId="166" fontId="50" fillId="6" borderId="0" xfId="1" applyNumberFormat="1" applyFont="1" applyFill="1" applyAlignment="1" applyProtection="1">
      <protection locked="0"/>
    </xf>
    <xf numFmtId="166" fontId="50" fillId="6" borderId="0" xfId="1" applyNumberFormat="1" applyFont="1" applyFill="1" applyAlignment="1" applyProtection="1">
      <alignment horizontal="center"/>
      <protection locked="0"/>
    </xf>
    <xf numFmtId="0" fontId="50" fillId="6" borderId="0" xfId="0" applyFont="1" applyFill="1" applyProtection="1">
      <protection locked="0"/>
    </xf>
    <xf numFmtId="166" fontId="49" fillId="6" borderId="0" xfId="1" applyNumberFormat="1" applyFont="1" applyFill="1" applyAlignment="1" applyProtection="1">
      <protection locked="0"/>
    </xf>
    <xf numFmtId="166" fontId="7" fillId="6" borderId="0" xfId="1" applyNumberFormat="1" applyFont="1" applyFill="1" applyAlignment="1" applyProtection="1">
      <protection locked="0"/>
    </xf>
    <xf numFmtId="166" fontId="5" fillId="6" borderId="0" xfId="1" applyNumberFormat="1" applyFont="1" applyFill="1" applyAlignment="1" applyProtection="1">
      <protection locked="0"/>
    </xf>
    <xf numFmtId="166" fontId="5" fillId="6" borderId="0" xfId="1" applyNumberFormat="1" applyFont="1" applyFill="1" applyAlignment="1" applyProtection="1">
      <alignment horizontal="center"/>
      <protection locked="0"/>
    </xf>
    <xf numFmtId="0" fontId="5" fillId="6" borderId="0" xfId="0" applyFont="1" applyFill="1" applyProtection="1">
      <protection locked="0"/>
    </xf>
    <xf numFmtId="166" fontId="5" fillId="7" borderId="2" xfId="1" applyNumberFormat="1" applyFont="1" applyFill="1" applyBorder="1" applyAlignment="1" applyProtection="1">
      <alignment horizontal="center" vertical="center"/>
      <protection locked="0"/>
    </xf>
    <xf numFmtId="43" fontId="7" fillId="6" borderId="2" xfId="1" applyNumberFormat="1" applyFont="1" applyFill="1" applyBorder="1" applyAlignment="1" applyProtection="1">
      <alignment horizontal="center" vertical="center"/>
      <protection locked="0"/>
    </xf>
    <xf numFmtId="165" fontId="2" fillId="6" borderId="2" xfId="1" applyNumberFormat="1" applyFont="1" applyFill="1" applyBorder="1" applyAlignment="1" applyProtection="1">
      <alignment horizontal="center" vertical="center"/>
      <protection locked="0"/>
    </xf>
    <xf numFmtId="0" fontId="3" fillId="6" borderId="0" xfId="0" applyFont="1" applyFill="1" applyProtection="1">
      <protection locked="0"/>
    </xf>
    <xf numFmtId="166" fontId="5" fillId="8" borderId="2" xfId="1" applyNumberFormat="1" applyFont="1" applyFill="1" applyBorder="1" applyAlignment="1" applyProtection="1">
      <alignment horizontal="center" vertical="center"/>
      <protection locked="0"/>
    </xf>
    <xf numFmtId="166" fontId="51" fillId="6" borderId="2" xfId="1" applyNumberFormat="1" applyFont="1" applyFill="1" applyBorder="1" applyAlignment="1" applyProtection="1">
      <alignment horizontal="center" vertical="center"/>
      <protection locked="0"/>
    </xf>
    <xf numFmtId="166" fontId="5" fillId="9" borderId="2" xfId="1" applyNumberFormat="1" applyFont="1" applyFill="1" applyBorder="1" applyAlignment="1" applyProtection="1">
      <alignment horizontal="center" vertical="center"/>
    </xf>
    <xf numFmtId="166" fontId="5" fillId="9" borderId="2" xfId="1" applyNumberFormat="1" applyFont="1" applyFill="1" applyBorder="1" applyAlignment="1" applyProtection="1">
      <alignment horizontal="left" vertical="center"/>
    </xf>
    <xf numFmtId="166" fontId="7" fillId="9" borderId="2" xfId="1" applyNumberFormat="1" applyFont="1" applyFill="1" applyBorder="1" applyAlignment="1" applyProtection="1">
      <alignment horizontal="center" vertical="center"/>
    </xf>
    <xf numFmtId="166" fontId="5" fillId="8" borderId="5" xfId="1" applyNumberFormat="1" applyFont="1" applyFill="1" applyBorder="1" applyAlignment="1" applyProtection="1">
      <alignment horizontal="center" vertical="center"/>
      <protection locked="0"/>
    </xf>
    <xf numFmtId="166" fontId="51" fillId="8" borderId="2" xfId="1" applyNumberFormat="1" applyFont="1" applyFill="1" applyBorder="1" applyAlignment="1" applyProtection="1">
      <alignment horizontal="center" vertical="center"/>
      <protection locked="0"/>
    </xf>
    <xf numFmtId="43" fontId="7" fillId="8" borderId="2" xfId="1" applyNumberFormat="1" applyFont="1" applyFill="1" applyBorder="1" applyAlignment="1" applyProtection="1">
      <alignment horizontal="center" vertical="center"/>
      <protection locked="0"/>
    </xf>
    <xf numFmtId="0" fontId="3" fillId="10" borderId="0" xfId="0" applyFont="1" applyFill="1" applyProtection="1">
      <protection locked="0"/>
    </xf>
    <xf numFmtId="166" fontId="33" fillId="0" borderId="1" xfId="1" applyNumberFormat="1" applyFont="1" applyFill="1" applyBorder="1" applyAlignment="1" applyProtection="1">
      <alignment horizontal="center" vertical="center"/>
    </xf>
    <xf numFmtId="0" fontId="33" fillId="0" borderId="0" xfId="0" applyFont="1" applyFill="1" applyProtection="1">
      <protection locked="0"/>
    </xf>
    <xf numFmtId="0" fontId="34" fillId="0" borderId="0" xfId="0" applyFont="1" applyFill="1" applyProtection="1">
      <protection locked="0"/>
    </xf>
    <xf numFmtId="166" fontId="34" fillId="0" borderId="1" xfId="1" applyNumberFormat="1" applyFont="1" applyFill="1" applyBorder="1" applyAlignment="1" applyProtection="1">
      <alignment horizontal="center" vertical="center"/>
    </xf>
    <xf numFmtId="166" fontId="34" fillId="0" borderId="1" xfId="1" applyNumberFormat="1" applyFont="1" applyFill="1" applyBorder="1" applyAlignment="1" applyProtection="1">
      <alignment horizontal="left" vertical="center"/>
    </xf>
    <xf numFmtId="166" fontId="34" fillId="0" borderId="1" xfId="1" applyNumberFormat="1" applyFont="1" applyFill="1" applyBorder="1" applyAlignment="1" applyProtection="1">
      <alignment vertical="center"/>
    </xf>
    <xf numFmtId="166" fontId="34" fillId="0" borderId="1" xfId="4" applyNumberFormat="1" applyFont="1" applyFill="1" applyBorder="1" applyAlignment="1" applyProtection="1">
      <alignment horizontal="center" vertical="center"/>
    </xf>
    <xf numFmtId="43" fontId="34" fillId="0" borderId="0" xfId="1" applyFont="1" applyFill="1" applyProtection="1">
      <protection locked="0"/>
    </xf>
    <xf numFmtId="165" fontId="33" fillId="0" borderId="1" xfId="1" applyNumberFormat="1" applyFont="1" applyFill="1" applyBorder="1" applyAlignment="1" applyProtection="1">
      <alignment horizontal="center" vertical="center"/>
    </xf>
    <xf numFmtId="166" fontId="35" fillId="0" borderId="1" xfId="1" applyNumberFormat="1" applyFont="1" applyFill="1" applyBorder="1" applyAlignment="1" applyProtection="1">
      <alignment horizontal="center" vertical="center"/>
    </xf>
    <xf numFmtId="166" fontId="35" fillId="0" borderId="1" xfId="1" applyNumberFormat="1" applyFont="1" applyFill="1" applyBorder="1" applyAlignment="1" applyProtection="1">
      <alignment horizontal="left" vertical="center"/>
    </xf>
    <xf numFmtId="165" fontId="34" fillId="0" borderId="1" xfId="1" applyNumberFormat="1" applyFont="1" applyFill="1" applyBorder="1" applyAlignment="1" applyProtection="1">
      <alignment horizontal="center" vertical="center"/>
    </xf>
    <xf numFmtId="0" fontId="35" fillId="0" borderId="0" xfId="0" applyFont="1" applyFill="1" applyProtection="1">
      <protection locked="0"/>
    </xf>
    <xf numFmtId="166" fontId="34" fillId="0" borderId="0" xfId="0" applyNumberFormat="1" applyFont="1" applyFill="1" applyProtection="1">
      <protection locked="0"/>
    </xf>
    <xf numFmtId="0" fontId="52" fillId="0" borderId="0" xfId="0" applyFont="1" applyFill="1" applyAlignment="1" applyProtection="1">
      <alignment horizontal="center" vertical="center" wrapText="1"/>
      <protection locked="0"/>
    </xf>
    <xf numFmtId="166" fontId="34" fillId="0" borderId="0" xfId="1" applyNumberFormat="1" applyFont="1" applyFill="1" applyProtection="1">
      <protection locked="0"/>
    </xf>
    <xf numFmtId="0" fontId="34" fillId="0" borderId="0" xfId="0" applyFont="1" applyFill="1" applyAlignment="1" applyProtection="1">
      <alignment horizontal="center"/>
      <protection locked="0"/>
    </xf>
    <xf numFmtId="166" fontId="34" fillId="0" borderId="0" xfId="0" applyNumberFormat="1" applyFont="1" applyFill="1" applyAlignment="1" applyProtection="1">
      <alignment horizontal="right"/>
      <protection locked="0"/>
    </xf>
    <xf numFmtId="0" fontId="34" fillId="0" borderId="0" xfId="0" applyFont="1" applyFill="1" applyAlignment="1" applyProtection="1">
      <alignment horizontal="right"/>
      <protection locked="0"/>
    </xf>
    <xf numFmtId="166" fontId="34" fillId="0" borderId="0" xfId="0" applyNumberFormat="1" applyFont="1" applyFill="1" applyAlignment="1" applyProtection="1">
      <alignment horizontal="center"/>
      <protection locked="0"/>
    </xf>
    <xf numFmtId="3" fontId="33" fillId="0" borderId="0" xfId="0" applyNumberFormat="1" applyFont="1" applyFill="1" applyProtection="1">
      <protection locked="0"/>
    </xf>
    <xf numFmtId="165" fontId="35" fillId="0" borderId="0" xfId="0" applyNumberFormat="1" applyFont="1" applyFill="1" applyProtection="1">
      <protection locked="0"/>
    </xf>
    <xf numFmtId="3" fontId="34" fillId="0" borderId="0" xfId="0" applyNumberFormat="1" applyFont="1" applyFill="1" applyProtection="1">
      <protection locked="0"/>
    </xf>
    <xf numFmtId="0" fontId="34" fillId="0" borderId="0" xfId="0" applyFont="1" applyFill="1" applyAlignment="1" applyProtection="1">
      <alignment vertical="center"/>
      <protection locked="0"/>
    </xf>
    <xf numFmtId="169" fontId="34" fillId="0" borderId="0" xfId="1" applyNumberFormat="1" applyFont="1" applyFill="1" applyProtection="1">
      <protection locked="0"/>
    </xf>
    <xf numFmtId="166" fontId="36" fillId="0" borderId="1" xfId="1" applyNumberFormat="1" applyFont="1" applyFill="1" applyBorder="1" applyAlignment="1" applyProtection="1">
      <alignment horizontal="center" vertical="center"/>
    </xf>
    <xf numFmtId="166" fontId="37" fillId="0" borderId="1" xfId="1" applyNumberFormat="1" applyFont="1" applyFill="1" applyBorder="1" applyAlignment="1" applyProtection="1">
      <alignment horizontal="center" vertical="center"/>
    </xf>
    <xf numFmtId="166" fontId="37" fillId="0" borderId="1" xfId="1" applyNumberFormat="1" applyFont="1" applyFill="1" applyBorder="1" applyAlignment="1" applyProtection="1">
      <alignment horizontal="center" vertical="center"/>
      <protection locked="0"/>
    </xf>
    <xf numFmtId="166" fontId="37" fillId="0" borderId="1" xfId="1" applyNumberFormat="1" applyFont="1" applyFill="1" applyBorder="1" applyAlignment="1" applyProtection="1">
      <alignment horizontal="left" vertical="center"/>
    </xf>
    <xf numFmtId="166" fontId="37" fillId="0" borderId="1" xfId="1" applyNumberFormat="1" applyFont="1" applyFill="1" applyBorder="1" applyAlignment="1" applyProtection="1">
      <alignment vertical="center"/>
    </xf>
    <xf numFmtId="166" fontId="37" fillId="0" borderId="1" xfId="4" applyNumberFormat="1" applyFont="1" applyFill="1" applyBorder="1" applyAlignment="1" applyProtection="1">
      <alignment horizontal="center" vertical="center"/>
    </xf>
    <xf numFmtId="166" fontId="37" fillId="0" borderId="1" xfId="4" applyNumberFormat="1" applyFont="1" applyFill="1" applyBorder="1" applyAlignment="1" applyProtection="1">
      <alignment horizontal="center" vertical="center"/>
      <protection locked="0"/>
    </xf>
    <xf numFmtId="166" fontId="36" fillId="0" borderId="1" xfId="1" applyNumberFormat="1" applyFont="1" applyFill="1" applyBorder="1" applyAlignment="1" applyProtection="1">
      <alignment horizontal="center" vertical="center" wrapText="1"/>
    </xf>
    <xf numFmtId="166" fontId="37" fillId="0" borderId="1" xfId="1" applyNumberFormat="1" applyFont="1" applyFill="1" applyBorder="1" applyAlignment="1" applyProtection="1">
      <alignment vertical="center"/>
      <protection locked="0"/>
    </xf>
    <xf numFmtId="166" fontId="34" fillId="0" borderId="1" xfId="1" applyNumberFormat="1" applyFont="1" applyFill="1" applyBorder="1" applyAlignment="1" applyProtection="1">
      <alignment vertical="center"/>
      <protection locked="0"/>
    </xf>
    <xf numFmtId="166" fontId="34" fillId="0" borderId="1" xfId="1" applyNumberFormat="1" applyFont="1" applyFill="1" applyBorder="1" applyAlignment="1" applyProtection="1">
      <alignment horizontal="center" vertical="center"/>
      <protection locked="0"/>
    </xf>
    <xf numFmtId="165" fontId="36" fillId="0" borderId="1" xfId="1" applyNumberFormat="1" applyFont="1" applyFill="1" applyBorder="1" applyAlignment="1" applyProtection="1">
      <alignment horizontal="center" vertical="center"/>
    </xf>
    <xf numFmtId="165" fontId="37" fillId="0" borderId="1" xfId="1" applyNumberFormat="1" applyFont="1" applyFill="1" applyBorder="1" applyAlignment="1" applyProtection="1">
      <alignment horizontal="center" vertical="center"/>
    </xf>
    <xf numFmtId="166" fontId="41" fillId="0" borderId="1" xfId="1" applyNumberFormat="1" applyFont="1" applyFill="1" applyBorder="1" applyAlignment="1" applyProtection="1">
      <alignment horizontal="center" vertical="center"/>
    </xf>
    <xf numFmtId="166" fontId="42" fillId="0" borderId="1" xfId="1" applyNumberFormat="1" applyFont="1" applyFill="1" applyBorder="1" applyAlignment="1" applyProtection="1">
      <alignment horizontal="center" vertical="center"/>
    </xf>
    <xf numFmtId="168" fontId="37" fillId="0" borderId="1" xfId="1" applyNumberFormat="1" applyFont="1" applyFill="1" applyBorder="1" applyAlignment="1" applyProtection="1">
      <alignment horizontal="center" vertical="center"/>
    </xf>
    <xf numFmtId="1" fontId="37" fillId="10" borderId="0" xfId="6" applyFont="1" applyFill="1"/>
    <xf numFmtId="0" fontId="37" fillId="0" borderId="0" xfId="1" applyNumberFormat="1" applyFont="1" applyFill="1"/>
    <xf numFmtId="0" fontId="37" fillId="0" borderId="0" xfId="1" applyNumberFormat="1" applyFont="1" applyFill="1" applyAlignment="1">
      <alignment horizontal="center"/>
    </xf>
    <xf numFmtId="0" fontId="37" fillId="10" borderId="0" xfId="1" applyNumberFormat="1" applyFont="1" applyFill="1" applyAlignment="1">
      <alignment horizontal="center"/>
    </xf>
    <xf numFmtId="0" fontId="43" fillId="10" borderId="0" xfId="1" applyNumberFormat="1" applyFont="1" applyFill="1"/>
    <xf numFmtId="0" fontId="34" fillId="10" borderId="0" xfId="0" applyFont="1" applyFill="1"/>
    <xf numFmtId="1" fontId="40" fillId="10" borderId="8" xfId="6" applyFont="1" applyFill="1" applyBorder="1" applyAlignment="1">
      <alignment horizontal="center"/>
    </xf>
    <xf numFmtId="1" fontId="40" fillId="0" borderId="8" xfId="6" applyFont="1" applyFill="1" applyBorder="1" applyAlignment="1">
      <alignment horizontal="center"/>
    </xf>
    <xf numFmtId="0" fontId="33" fillId="0" borderId="1" xfId="1" applyNumberFormat="1" applyFont="1" applyFill="1" applyBorder="1" applyAlignment="1">
      <alignment horizontal="center" vertical="center" wrapText="1"/>
    </xf>
    <xf numFmtId="0" fontId="33" fillId="10" borderId="1" xfId="1" applyNumberFormat="1" applyFont="1" applyFill="1" applyBorder="1" applyAlignment="1">
      <alignment horizontal="center" vertical="center" wrapText="1"/>
    </xf>
    <xf numFmtId="0" fontId="34" fillId="10" borderId="1" xfId="8" applyFont="1" applyFill="1" applyBorder="1" applyAlignment="1">
      <alignment horizontal="center"/>
    </xf>
    <xf numFmtId="0" fontId="34" fillId="0" borderId="1" xfId="1" applyNumberFormat="1" applyFont="1" applyFill="1" applyBorder="1" applyAlignment="1">
      <alignment horizontal="center"/>
    </xf>
    <xf numFmtId="0" fontId="34" fillId="10" borderId="1" xfId="1" applyNumberFormat="1" applyFont="1" applyFill="1" applyBorder="1" applyAlignment="1">
      <alignment horizontal="center"/>
    </xf>
    <xf numFmtId="0" fontId="45" fillId="10" borderId="1" xfId="1" applyNumberFormat="1" applyFont="1" applyFill="1" applyBorder="1" applyAlignment="1">
      <alignment horizontal="center"/>
    </xf>
    <xf numFmtId="164" fontId="34" fillId="10" borderId="0" xfId="0" applyNumberFormat="1" applyFont="1" applyFill="1"/>
    <xf numFmtId="0" fontId="33" fillId="10" borderId="1" xfId="8" applyFont="1" applyFill="1" applyBorder="1" applyAlignment="1">
      <alignment horizontal="center" vertical="center" wrapText="1"/>
    </xf>
    <xf numFmtId="0" fontId="33" fillId="10" borderId="1" xfId="8" applyFont="1" applyFill="1" applyBorder="1" applyAlignment="1">
      <alignment vertical="center" wrapText="1"/>
    </xf>
    <xf numFmtId="0" fontId="33" fillId="0" borderId="1" xfId="8" applyFont="1" applyFill="1" applyBorder="1" applyAlignment="1">
      <alignment vertical="center" wrapText="1"/>
    </xf>
    <xf numFmtId="0" fontId="45" fillId="10" borderId="1" xfId="8" applyFont="1" applyFill="1" applyBorder="1" applyAlignment="1">
      <alignment horizontal="center" vertical="center" wrapText="1"/>
    </xf>
    <xf numFmtId="0" fontId="45" fillId="0" borderId="1" xfId="1" applyNumberFormat="1" applyFont="1" applyFill="1" applyBorder="1" applyAlignment="1">
      <alignment horizontal="center" vertical="center"/>
    </xf>
    <xf numFmtId="0" fontId="34" fillId="0" borderId="1" xfId="1" applyNumberFormat="1" applyFont="1" applyFill="1" applyBorder="1" applyAlignment="1">
      <alignment horizontal="center" vertical="center"/>
    </xf>
    <xf numFmtId="0" fontId="45" fillId="10" borderId="1" xfId="1" applyNumberFormat="1" applyFont="1" applyFill="1" applyBorder="1" applyAlignment="1">
      <alignment horizontal="center" vertical="center"/>
    </xf>
    <xf numFmtId="167" fontId="34" fillId="10" borderId="1" xfId="1" applyNumberFormat="1" applyFont="1" applyFill="1" applyBorder="1" applyAlignment="1">
      <alignment horizontal="center" vertical="center" wrapText="1"/>
    </xf>
    <xf numFmtId="171" fontId="34" fillId="10" borderId="1" xfId="1" applyNumberFormat="1" applyFont="1" applyFill="1" applyBorder="1" applyAlignment="1">
      <alignment horizontal="center" vertical="center" wrapText="1"/>
    </xf>
    <xf numFmtId="0" fontId="37" fillId="10" borderId="1" xfId="8" applyFont="1" applyFill="1" applyBorder="1" applyAlignment="1">
      <alignment horizontal="center" vertical="center" wrapText="1"/>
    </xf>
    <xf numFmtId="0" fontId="36" fillId="11" borderId="1" xfId="0" applyFont="1" applyFill="1" applyBorder="1" applyAlignment="1">
      <alignment horizontal="center" wrapText="1"/>
    </xf>
    <xf numFmtId="0" fontId="36" fillId="11" borderId="1" xfId="0" applyFont="1" applyFill="1" applyBorder="1" applyAlignment="1">
      <alignment wrapText="1"/>
    </xf>
    <xf numFmtId="0" fontId="34" fillId="0" borderId="1" xfId="8" applyFont="1" applyFill="1" applyBorder="1" applyAlignment="1">
      <alignment horizontal="right" vertical="center" wrapText="1"/>
    </xf>
    <xf numFmtId="0" fontId="34" fillId="0" borderId="1" xfId="1" applyNumberFormat="1" applyFont="1" applyFill="1" applyBorder="1" applyAlignment="1">
      <alignment horizontal="right" vertical="center"/>
    </xf>
    <xf numFmtId="170" fontId="34" fillId="0" borderId="1" xfId="1" applyNumberFormat="1" applyFont="1" applyFill="1" applyBorder="1" applyAlignment="1">
      <alignment horizontal="right" vertical="center"/>
    </xf>
    <xf numFmtId="0" fontId="45" fillId="10" borderId="1" xfId="1" applyNumberFormat="1" applyFont="1" applyFill="1" applyBorder="1" applyAlignment="1">
      <alignment horizontal="right" vertical="center"/>
    </xf>
    <xf numFmtId="0" fontId="47" fillId="11" borderId="1" xfId="0" applyFont="1" applyFill="1" applyBorder="1" applyAlignment="1">
      <alignment horizontal="center" wrapText="1"/>
    </xf>
    <xf numFmtId="170" fontId="34" fillId="0" borderId="1" xfId="1" applyNumberFormat="1" applyFont="1" applyFill="1" applyBorder="1" applyAlignment="1">
      <alignment horizontal="center" vertical="center"/>
    </xf>
    <xf numFmtId="43" fontId="34" fillId="10" borderId="1" xfId="1" applyFont="1" applyFill="1" applyBorder="1" applyAlignment="1">
      <alignment horizontal="center" vertical="center"/>
    </xf>
    <xf numFmtId="0" fontId="37" fillId="11" borderId="1" xfId="0" applyFont="1" applyFill="1" applyBorder="1" applyAlignment="1">
      <alignment horizontal="center" vertical="center" wrapText="1"/>
    </xf>
    <xf numFmtId="0" fontId="37" fillId="11" borderId="1" xfId="0" applyFont="1" applyFill="1" applyBorder="1" applyAlignment="1">
      <alignment vertical="center" wrapText="1"/>
    </xf>
    <xf numFmtId="0" fontId="37" fillId="11" borderId="1" xfId="0" applyFont="1" applyFill="1" applyBorder="1" applyAlignment="1">
      <alignment horizontal="center" vertical="center"/>
    </xf>
    <xf numFmtId="170" fontId="45" fillId="0" borderId="1" xfId="1" applyNumberFormat="1" applyFont="1" applyFill="1" applyBorder="1" applyAlignment="1">
      <alignment vertical="center"/>
    </xf>
    <xf numFmtId="170" fontId="34" fillId="0" borderId="1" xfId="1" applyNumberFormat="1" applyFont="1" applyFill="1" applyBorder="1" applyAlignment="1">
      <alignment vertical="center"/>
    </xf>
    <xf numFmtId="170" fontId="34" fillId="10" borderId="1" xfId="1" applyNumberFormat="1" applyFont="1" applyFill="1" applyBorder="1" applyAlignment="1">
      <alignment vertical="center"/>
    </xf>
    <xf numFmtId="167" fontId="37" fillId="10" borderId="1" xfId="1" applyNumberFormat="1" applyFont="1" applyFill="1" applyBorder="1" applyAlignment="1">
      <alignment vertical="center" wrapText="1"/>
    </xf>
    <xf numFmtId="0" fontId="34" fillId="0" borderId="0" xfId="1" applyNumberFormat="1" applyFont="1" applyFill="1"/>
    <xf numFmtId="0" fontId="34" fillId="0" borderId="0" xfId="1" applyNumberFormat="1" applyFont="1" applyFill="1" applyAlignment="1">
      <alignment horizontal="center"/>
    </xf>
    <xf numFmtId="0" fontId="34" fillId="10" borderId="0" xfId="1" applyNumberFormat="1" applyFont="1" applyFill="1" applyAlignment="1">
      <alignment horizontal="center"/>
    </xf>
    <xf numFmtId="0" fontId="45" fillId="10" borderId="0" xfId="1" applyNumberFormat="1" applyFont="1" applyFill="1"/>
    <xf numFmtId="0" fontId="52" fillId="10" borderId="0" xfId="0" applyFont="1" applyFill="1"/>
    <xf numFmtId="0" fontId="33" fillId="10" borderId="1" xfId="8" applyFont="1" applyFill="1" applyBorder="1" applyAlignment="1">
      <alignment horizontal="center"/>
    </xf>
    <xf numFmtId="3" fontId="33" fillId="0" borderId="1" xfId="1" applyNumberFormat="1" applyFont="1" applyFill="1" applyBorder="1" applyAlignment="1">
      <alignment horizontal="center"/>
    </xf>
    <xf numFmtId="170" fontId="33" fillId="0" borderId="1" xfId="1" applyNumberFormat="1" applyFont="1" applyFill="1" applyBorder="1" applyAlignment="1">
      <alignment horizontal="center"/>
    </xf>
    <xf numFmtId="170" fontId="33" fillId="10" borderId="1" xfId="1" applyNumberFormat="1" applyFont="1" applyFill="1" applyBorder="1" applyAlignment="1">
      <alignment horizontal="center"/>
    </xf>
    <xf numFmtId="0" fontId="35" fillId="10" borderId="1" xfId="1" applyNumberFormat="1" applyFont="1" applyFill="1" applyBorder="1" applyAlignment="1">
      <alignment horizontal="center"/>
    </xf>
    <xf numFmtId="0" fontId="34" fillId="10" borderId="1" xfId="8" applyFont="1" applyFill="1" applyBorder="1" applyAlignment="1">
      <alignment horizontal="center" vertical="center" wrapText="1"/>
    </xf>
    <xf numFmtId="0" fontId="36" fillId="11" borderId="1" xfId="0" applyFont="1" applyFill="1" applyBorder="1"/>
    <xf numFmtId="0" fontId="34" fillId="10" borderId="1" xfId="1" applyNumberFormat="1" applyFont="1" applyFill="1" applyBorder="1" applyAlignment="1">
      <alignment horizontal="right" vertical="center"/>
    </xf>
    <xf numFmtId="0" fontId="36" fillId="10" borderId="1" xfId="8" applyFont="1" applyFill="1" applyBorder="1" applyAlignment="1">
      <alignment horizontal="center" vertical="center" wrapText="1"/>
    </xf>
    <xf numFmtId="0" fontId="37" fillId="11" borderId="1" xfId="0" applyFont="1" applyFill="1" applyBorder="1" applyAlignment="1">
      <alignment wrapText="1"/>
    </xf>
    <xf numFmtId="0" fontId="37" fillId="11" borderId="1" xfId="0" applyFont="1" applyFill="1" applyBorder="1" applyAlignment="1">
      <alignment horizontal="center"/>
    </xf>
    <xf numFmtId="170" fontId="34" fillId="0" borderId="1" xfId="1" applyNumberFormat="1" applyFont="1" applyFill="1" applyBorder="1" applyAlignment="1">
      <alignment horizontal="right" vertical="center" wrapText="1"/>
    </xf>
    <xf numFmtId="170" fontId="34" fillId="10" borderId="1" xfId="1" applyNumberFormat="1" applyFont="1" applyFill="1" applyBorder="1" applyAlignment="1">
      <alignment horizontal="right" vertical="center"/>
    </xf>
    <xf numFmtId="0" fontId="37" fillId="11" borderId="1" xfId="0" applyFont="1" applyFill="1" applyBorder="1" applyAlignment="1">
      <alignment horizontal="left" vertical="center" wrapText="1"/>
    </xf>
    <xf numFmtId="0" fontId="36" fillId="10" borderId="1" xfId="8" applyFont="1" applyFill="1" applyBorder="1" applyAlignment="1">
      <alignment vertical="center" wrapText="1"/>
    </xf>
    <xf numFmtId="0" fontId="37" fillId="11" borderId="1" xfId="0" quotePrefix="1" applyFont="1" applyFill="1" applyBorder="1" applyAlignment="1">
      <alignment horizontal="left" vertical="center" wrapText="1"/>
    </xf>
    <xf numFmtId="43" fontId="34" fillId="0" borderId="1" xfId="1" applyFont="1" applyFill="1" applyBorder="1" applyAlignment="1">
      <alignment horizontal="right" vertical="center"/>
    </xf>
    <xf numFmtId="43" fontId="34" fillId="10" borderId="1" xfId="1" applyFont="1" applyFill="1" applyBorder="1" applyAlignment="1">
      <alignment horizontal="right" vertical="center"/>
    </xf>
    <xf numFmtId="164" fontId="34" fillId="0" borderId="1" xfId="1" applyNumberFormat="1" applyFont="1" applyFill="1" applyBorder="1" applyAlignment="1">
      <alignment horizontal="right" vertical="center"/>
    </xf>
    <xf numFmtId="0" fontId="37" fillId="10" borderId="1" xfId="8" applyFont="1" applyFill="1" applyBorder="1" applyAlignment="1">
      <alignment vertical="center" wrapText="1"/>
    </xf>
    <xf numFmtId="164" fontId="34" fillId="0" borderId="1" xfId="1" quotePrefix="1" applyNumberFormat="1" applyFont="1" applyFill="1" applyBorder="1" applyAlignment="1">
      <alignment horizontal="right" vertical="center"/>
    </xf>
    <xf numFmtId="0" fontId="36" fillId="11" borderId="1" xfId="0" applyFont="1" applyFill="1" applyBorder="1" applyAlignment="1">
      <alignment horizontal="left" vertical="center"/>
    </xf>
    <xf numFmtId="171" fontId="34" fillId="0" borderId="1" xfId="1" applyNumberFormat="1" applyFont="1" applyFill="1" applyBorder="1" applyAlignment="1">
      <alignment horizontal="right" vertical="center"/>
    </xf>
    <xf numFmtId="0" fontId="36" fillId="11" borderId="1" xfId="0" applyFont="1" applyFill="1" applyBorder="1" applyAlignment="1">
      <alignment vertical="center" wrapText="1"/>
    </xf>
    <xf numFmtId="0" fontId="37" fillId="11" borderId="1" xfId="0" applyFont="1" applyFill="1" applyBorder="1" applyAlignment="1">
      <alignment horizontal="center" wrapText="1"/>
    </xf>
    <xf numFmtId="0" fontId="43" fillId="11" borderId="1" xfId="0" applyFont="1" applyFill="1" applyBorder="1" applyAlignment="1">
      <alignment horizontal="center" wrapText="1"/>
    </xf>
    <xf numFmtId="0" fontId="43" fillId="0" borderId="1" xfId="0" applyFont="1" applyBorder="1" applyAlignment="1">
      <alignment vertical="center"/>
    </xf>
    <xf numFmtId="0" fontId="43" fillId="0" borderId="1" xfId="0" quotePrefix="1" applyFont="1" applyBorder="1" applyAlignment="1">
      <alignment vertical="center"/>
    </xf>
    <xf numFmtId="0" fontId="43" fillId="11" borderId="1" xfId="0" applyFont="1" applyFill="1" applyBorder="1" applyAlignment="1">
      <alignment vertical="center" wrapText="1"/>
    </xf>
    <xf numFmtId="0" fontId="37" fillId="0" borderId="1" xfId="0" applyFont="1" applyBorder="1" applyAlignment="1">
      <alignment vertical="center"/>
    </xf>
    <xf numFmtId="0" fontId="43" fillId="11" borderId="1" xfId="0" quotePrefix="1" applyFont="1" applyFill="1" applyBorder="1" applyAlignment="1">
      <alignment vertical="center" wrapText="1"/>
    </xf>
    <xf numFmtId="0" fontId="43" fillId="11" borderId="1" xfId="0" applyFont="1" applyFill="1" applyBorder="1" applyAlignment="1">
      <alignment horizontal="justify" vertical="center" wrapText="1"/>
    </xf>
    <xf numFmtId="43" fontId="34" fillId="10" borderId="1" xfId="1" applyFont="1" applyFill="1" applyBorder="1" applyAlignment="1">
      <alignment vertical="center" wrapText="1"/>
    </xf>
    <xf numFmtId="164" fontId="34" fillId="0" borderId="1" xfId="1" applyNumberFormat="1" applyFont="1" applyFill="1" applyBorder="1" applyAlignment="1">
      <alignment horizontal="right" vertical="center" wrapText="1"/>
    </xf>
    <xf numFmtId="0" fontId="34" fillId="0" borderId="1" xfId="8" applyFont="1" applyFill="1" applyBorder="1" applyAlignment="1">
      <alignment vertical="center" wrapText="1"/>
    </xf>
    <xf numFmtId="0" fontId="34" fillId="0" borderId="1" xfId="1" applyNumberFormat="1" applyFont="1" applyFill="1" applyBorder="1" applyAlignment="1">
      <alignment vertical="center"/>
    </xf>
    <xf numFmtId="0" fontId="43" fillId="11" borderId="1" xfId="0" applyFont="1" applyFill="1" applyBorder="1"/>
    <xf numFmtId="43" fontId="34" fillId="0" borderId="1" xfId="1" applyFont="1" applyFill="1" applyBorder="1" applyAlignment="1">
      <alignment vertical="center" wrapText="1"/>
    </xf>
    <xf numFmtId="43" fontId="34" fillId="0" borderId="1" xfId="1" applyFont="1" applyFill="1" applyBorder="1" applyAlignment="1">
      <alignment vertical="center"/>
    </xf>
    <xf numFmtId="43" fontId="34" fillId="10" borderId="1" xfId="1" applyFont="1" applyFill="1" applyBorder="1" applyAlignment="1">
      <alignment vertical="center"/>
    </xf>
    <xf numFmtId="2" fontId="34" fillId="0" borderId="1" xfId="8" applyNumberFormat="1" applyFont="1" applyFill="1" applyBorder="1" applyAlignment="1">
      <alignment vertical="center" wrapText="1"/>
    </xf>
    <xf numFmtId="43" fontId="34" fillId="0" borderId="1" xfId="1" applyFont="1" applyFill="1" applyBorder="1" applyAlignment="1">
      <alignment horizontal="center" vertical="center" wrapText="1"/>
    </xf>
    <xf numFmtId="43" fontId="34" fillId="0" borderId="1" xfId="1" applyFont="1" applyFill="1" applyBorder="1" applyAlignment="1">
      <alignment horizontal="center" vertical="center"/>
    </xf>
    <xf numFmtId="2" fontId="34" fillId="0" borderId="1" xfId="0" applyNumberFormat="1" applyFont="1" applyFill="1" applyBorder="1" applyAlignment="1">
      <alignment vertical="center"/>
    </xf>
    <xf numFmtId="2" fontId="45" fillId="0" borderId="1" xfId="8" applyNumberFormat="1" applyFont="1" applyFill="1" applyBorder="1" applyAlignment="1">
      <alignment vertical="center" wrapText="1"/>
    </xf>
    <xf numFmtId="164" fontId="34" fillId="0" borderId="1" xfId="1" applyNumberFormat="1" applyFont="1" applyFill="1" applyBorder="1" applyAlignment="1">
      <alignment vertical="center"/>
    </xf>
    <xf numFmtId="2" fontId="48" fillId="0" borderId="1" xfId="8" applyNumberFormat="1" applyFont="1" applyFill="1" applyBorder="1" applyAlignment="1">
      <alignment vertical="center" wrapText="1"/>
    </xf>
    <xf numFmtId="0" fontId="43" fillId="0" borderId="1" xfId="0" applyFont="1" applyBorder="1" applyAlignment="1">
      <alignment horizontal="center" wrapText="1"/>
    </xf>
    <xf numFmtId="0" fontId="43" fillId="0" borderId="1" xfId="0" applyFont="1" applyBorder="1" applyAlignment="1">
      <alignment vertical="center" wrapText="1"/>
    </xf>
    <xf numFmtId="172" fontId="34" fillId="0" borderId="1" xfId="1" applyNumberFormat="1" applyFont="1" applyFill="1" applyBorder="1" applyAlignment="1">
      <alignment vertical="center"/>
    </xf>
    <xf numFmtId="43" fontId="34" fillId="6" borderId="1" xfId="1" applyFont="1" applyFill="1" applyBorder="1" applyAlignment="1">
      <alignment vertical="center"/>
    </xf>
    <xf numFmtId="0" fontId="45" fillId="0" borderId="1" xfId="1" applyNumberFormat="1" applyFont="1" applyFill="1" applyBorder="1" applyAlignment="1">
      <alignment vertical="center"/>
    </xf>
    <xf numFmtId="0" fontId="34" fillId="0" borderId="1" xfId="1" applyNumberFormat="1" applyFont="1" applyFill="1" applyBorder="1" applyAlignment="1">
      <alignment vertical="center" wrapText="1"/>
    </xf>
    <xf numFmtId="0" fontId="34" fillId="0" borderId="1" xfId="1" applyNumberFormat="1" applyFont="1" applyFill="1" applyBorder="1" applyAlignment="1">
      <alignment horizontal="center" vertical="center" wrapText="1"/>
    </xf>
    <xf numFmtId="0" fontId="53" fillId="11" borderId="1" xfId="0" applyFont="1" applyFill="1" applyBorder="1" applyAlignment="1">
      <alignment horizontal="center" wrapText="1"/>
    </xf>
    <xf numFmtId="0" fontId="43" fillId="0" borderId="1" xfId="0" applyFont="1" applyBorder="1" applyAlignment="1">
      <alignment horizontal="left" vertical="center" wrapText="1"/>
    </xf>
    <xf numFmtId="1" fontId="33" fillId="10" borderId="0" xfId="6" applyFont="1" applyFill="1" applyAlignment="1">
      <alignment horizontal="left"/>
    </xf>
    <xf numFmtId="167" fontId="2" fillId="10" borderId="0" xfId="6" applyNumberFormat="1" applyFont="1" applyFill="1" applyBorder="1" applyAlignment="1">
      <alignment horizontal="center" wrapText="1"/>
    </xf>
    <xf numFmtId="1" fontId="40" fillId="10" borderId="0" xfId="6" applyFont="1" applyFill="1" applyBorder="1" applyAlignment="1">
      <alignment horizontal="center"/>
    </xf>
    <xf numFmtId="1" fontId="44" fillId="10" borderId="1" xfId="6" applyFont="1" applyFill="1" applyBorder="1" applyAlignment="1">
      <alignment horizontal="center" vertical="center"/>
    </xf>
    <xf numFmtId="0" fontId="44" fillId="10" borderId="1" xfId="8" applyFont="1" applyFill="1" applyBorder="1" applyAlignment="1">
      <alignment horizontal="center" vertical="center" wrapText="1"/>
    </xf>
    <xf numFmtId="0" fontId="33" fillId="0" borderId="1" xfId="1" applyNumberFormat="1" applyFont="1" applyFill="1" applyBorder="1" applyAlignment="1">
      <alignment horizontal="center" vertical="center" wrapText="1"/>
    </xf>
    <xf numFmtId="0" fontId="33" fillId="10" borderId="1" xfId="1" applyNumberFormat="1" applyFont="1" applyFill="1" applyBorder="1" applyAlignment="1">
      <alignment horizontal="center" vertical="center" wrapText="1"/>
    </xf>
    <xf numFmtId="0" fontId="33" fillId="10" borderId="1" xfId="7" applyFont="1" applyFill="1" applyBorder="1" applyAlignment="1">
      <alignment horizontal="center" vertical="center" wrapText="1"/>
    </xf>
    <xf numFmtId="167" fontId="37" fillId="10" borderId="1" xfId="1" applyNumberFormat="1" applyFont="1" applyFill="1" applyBorder="1" applyAlignment="1">
      <alignment horizontal="center" vertical="center" wrapText="1"/>
    </xf>
    <xf numFmtId="0" fontId="37" fillId="10" borderId="1" xfId="1" applyNumberFormat="1" applyFont="1" applyFill="1" applyBorder="1" applyAlignment="1">
      <alignment horizontal="center" vertical="center" wrapText="1"/>
    </xf>
    <xf numFmtId="170" fontId="37" fillId="0" borderId="1" xfId="1" applyNumberFormat="1" applyFont="1" applyFill="1" applyBorder="1" applyAlignment="1">
      <alignment horizontal="center" vertical="center"/>
    </xf>
    <xf numFmtId="0" fontId="37" fillId="10" borderId="1" xfId="8" applyFont="1" applyFill="1" applyBorder="1" applyAlignment="1">
      <alignment horizontal="center" vertical="center" wrapText="1"/>
    </xf>
    <xf numFmtId="43" fontId="34" fillId="0" borderId="1" xfId="1" applyFont="1" applyFill="1" applyBorder="1" applyAlignment="1">
      <alignment horizontal="center" vertical="center" wrapText="1"/>
    </xf>
    <xf numFmtId="0" fontId="40" fillId="10" borderId="7" xfId="0" applyFont="1" applyFill="1" applyBorder="1" applyAlignment="1">
      <alignment horizontal="center"/>
    </xf>
    <xf numFmtId="167" fontId="34" fillId="10" borderId="1" xfId="1" applyNumberFormat="1" applyFont="1" applyFill="1" applyBorder="1" applyAlignment="1">
      <alignment horizontal="center" vertical="center" wrapText="1"/>
    </xf>
    <xf numFmtId="166" fontId="36" fillId="0" borderId="11" xfId="1" applyNumberFormat="1" applyFont="1" applyFill="1" applyBorder="1" applyAlignment="1" applyProtection="1">
      <alignment horizontal="center" vertical="center" wrapText="1"/>
    </xf>
    <xf numFmtId="166" fontId="36" fillId="0" borderId="12" xfId="1" applyNumberFormat="1" applyFont="1" applyFill="1" applyBorder="1" applyAlignment="1" applyProtection="1">
      <alignment horizontal="center" vertical="center" wrapText="1"/>
    </xf>
    <xf numFmtId="166" fontId="36" fillId="0" borderId="13" xfId="1" applyNumberFormat="1" applyFont="1" applyFill="1" applyBorder="1" applyAlignment="1" applyProtection="1">
      <alignment horizontal="center" vertical="center" wrapText="1"/>
    </xf>
    <xf numFmtId="166" fontId="36" fillId="0" borderId="14" xfId="1" applyNumberFormat="1" applyFont="1" applyFill="1" applyBorder="1" applyAlignment="1" applyProtection="1">
      <alignment horizontal="center" vertical="center" wrapText="1"/>
    </xf>
    <xf numFmtId="166" fontId="36" fillId="0" borderId="1" xfId="1" applyNumberFormat="1" applyFont="1" applyFill="1" applyBorder="1" applyAlignment="1" applyProtection="1">
      <alignment horizontal="center" vertical="center" wrapText="1"/>
    </xf>
    <xf numFmtId="166" fontId="36" fillId="0" borderId="1" xfId="1" applyNumberFormat="1" applyFont="1" applyFill="1" applyBorder="1" applyAlignment="1" applyProtection="1">
      <alignment horizontal="center" vertical="center"/>
    </xf>
    <xf numFmtId="166" fontId="40" fillId="0" borderId="8" xfId="1" applyNumberFormat="1" applyFont="1" applyFill="1" applyBorder="1" applyAlignment="1" applyProtection="1">
      <alignment horizontal="center" vertical="center"/>
      <protection locked="0"/>
    </xf>
    <xf numFmtId="0" fontId="33" fillId="0" borderId="0" xfId="0" applyFont="1" applyFill="1" applyAlignment="1" applyProtection="1">
      <alignment horizontal="left"/>
      <protection locked="0"/>
    </xf>
    <xf numFmtId="0" fontId="36" fillId="0" borderId="9" xfId="0" applyFont="1" applyFill="1" applyBorder="1" applyAlignment="1" applyProtection="1">
      <alignment horizontal="center" vertical="center" wrapText="1"/>
      <protection locked="0"/>
    </xf>
    <xf numFmtId="0" fontId="36" fillId="0" borderId="10" xfId="0" applyFont="1" applyFill="1" applyBorder="1" applyAlignment="1" applyProtection="1">
      <alignment horizontal="center" vertical="center" wrapText="1"/>
      <protection locked="0"/>
    </xf>
    <xf numFmtId="0" fontId="36" fillId="0" borderId="4" xfId="0" applyFont="1" applyFill="1" applyBorder="1" applyAlignment="1" applyProtection="1">
      <alignment horizontal="center" vertical="center" wrapText="1"/>
      <protection locked="0"/>
    </xf>
    <xf numFmtId="166" fontId="38" fillId="0" borderId="0" xfId="1" applyNumberFormat="1" applyFont="1" applyFill="1" applyBorder="1" applyAlignment="1" applyProtection="1">
      <alignment horizontal="center" vertical="center"/>
      <protection locked="0"/>
    </xf>
    <xf numFmtId="166" fontId="36" fillId="0" borderId="9" xfId="1" applyNumberFormat="1" applyFont="1" applyFill="1" applyBorder="1" applyAlignment="1" applyProtection="1">
      <alignment horizontal="center" vertical="center"/>
    </xf>
    <xf numFmtId="166" fontId="36" fillId="0" borderId="10" xfId="1" applyNumberFormat="1" applyFont="1" applyFill="1" applyBorder="1" applyAlignment="1" applyProtection="1">
      <alignment horizontal="center" vertical="center"/>
    </xf>
    <xf numFmtId="166" fontId="36" fillId="0" borderId="4" xfId="1" applyNumberFormat="1" applyFont="1" applyFill="1" applyBorder="1" applyAlignment="1" applyProtection="1">
      <alignment horizontal="center" vertical="center"/>
    </xf>
    <xf numFmtId="166" fontId="36" fillId="0" borderId="9" xfId="1" applyNumberFormat="1" applyFont="1" applyFill="1" applyBorder="1" applyAlignment="1" applyProtection="1">
      <alignment horizontal="center" vertical="center" wrapText="1"/>
    </xf>
    <xf numFmtId="166" fontId="36" fillId="0" borderId="10" xfId="1" applyNumberFormat="1" applyFont="1" applyFill="1" applyBorder="1" applyAlignment="1" applyProtection="1">
      <alignment horizontal="center" vertical="center" wrapText="1"/>
    </xf>
    <xf numFmtId="166" fontId="36" fillId="0" borderId="4" xfId="1" applyNumberFormat="1" applyFont="1" applyFill="1" applyBorder="1" applyAlignment="1" applyProtection="1">
      <alignment horizontal="center" vertical="center" wrapText="1"/>
    </xf>
    <xf numFmtId="0" fontId="33" fillId="0" borderId="0" xfId="0" applyFont="1" applyFill="1" applyAlignment="1" applyProtection="1">
      <alignment horizontal="left" vertical="center"/>
      <protection locked="0"/>
    </xf>
    <xf numFmtId="166" fontId="33" fillId="0" borderId="1" xfId="1" applyNumberFormat="1" applyFont="1" applyFill="1" applyBorder="1" applyAlignment="1" applyProtection="1">
      <alignment horizontal="center" vertical="center"/>
    </xf>
    <xf numFmtId="166" fontId="33" fillId="0" borderId="1" xfId="1" applyNumberFormat="1" applyFont="1" applyFill="1" applyBorder="1" applyAlignment="1" applyProtection="1">
      <alignment horizontal="center" vertical="center" wrapText="1"/>
    </xf>
    <xf numFmtId="166" fontId="34" fillId="0" borderId="0" xfId="0" applyNumberFormat="1" applyFont="1" applyFill="1" applyAlignment="1" applyProtection="1">
      <alignment horizontal="center"/>
      <protection locked="0"/>
    </xf>
    <xf numFmtId="166" fontId="34" fillId="0" borderId="0" xfId="1" applyNumberFormat="1" applyFont="1" applyFill="1" applyAlignment="1" applyProtection="1">
      <alignment horizontal="center"/>
      <protection locked="0"/>
    </xf>
    <xf numFmtId="166" fontId="2" fillId="3" borderId="11" xfId="1" applyNumberFormat="1" applyFont="1" applyFill="1" applyBorder="1" applyAlignment="1" applyProtection="1">
      <alignment horizontal="center" vertical="center" wrapText="1"/>
      <protection locked="0"/>
    </xf>
    <xf numFmtId="166" fontId="2" fillId="3" borderId="12" xfId="1" applyNumberFormat="1" applyFont="1" applyFill="1" applyBorder="1" applyAlignment="1" applyProtection="1">
      <alignment horizontal="center" vertical="center" wrapText="1"/>
      <protection locked="0"/>
    </xf>
    <xf numFmtId="166" fontId="2" fillId="3" borderId="18" xfId="1" applyNumberFormat="1" applyFont="1" applyFill="1" applyBorder="1" applyAlignment="1" applyProtection="1">
      <alignment horizontal="center" vertical="center" wrapText="1"/>
      <protection locked="0"/>
    </xf>
    <xf numFmtId="166" fontId="2" fillId="3" borderId="19" xfId="1" applyNumberFormat="1" applyFont="1" applyFill="1" applyBorder="1" applyAlignment="1" applyProtection="1">
      <alignment horizontal="center" vertical="center" wrapText="1"/>
      <protection locked="0"/>
    </xf>
    <xf numFmtId="166" fontId="2" fillId="3" borderId="9" xfId="1" applyNumberFormat="1" applyFont="1" applyFill="1" applyBorder="1" applyAlignment="1" applyProtection="1">
      <alignment horizontal="center" vertical="center" wrapText="1"/>
    </xf>
    <xf numFmtId="166" fontId="2" fillId="3" borderId="4" xfId="1" applyNumberFormat="1" applyFont="1" applyFill="1" applyBorder="1" applyAlignment="1" applyProtection="1">
      <alignment horizontal="center" vertical="center" wrapText="1"/>
    </xf>
    <xf numFmtId="166" fontId="2" fillId="3" borderId="15" xfId="1" applyNumberFormat="1" applyFont="1" applyFill="1" applyBorder="1" applyAlignment="1" applyProtection="1">
      <alignment horizontal="center" vertical="center" wrapText="1"/>
    </xf>
    <xf numFmtId="166" fontId="2" fillId="3" borderId="16" xfId="1" applyNumberFormat="1" applyFont="1" applyFill="1" applyBorder="1" applyAlignment="1" applyProtection="1">
      <alignment horizontal="center" vertical="center" wrapText="1"/>
    </xf>
    <xf numFmtId="166" fontId="2" fillId="3" borderId="17" xfId="1" applyNumberFormat="1" applyFont="1" applyFill="1" applyBorder="1" applyAlignment="1" applyProtection="1">
      <alignment horizontal="center" vertical="center" wrapText="1"/>
    </xf>
    <xf numFmtId="166" fontId="2" fillId="3" borderId="9" xfId="1" applyNumberFormat="1" applyFont="1" applyFill="1" applyBorder="1" applyAlignment="1" applyProtection="1">
      <alignment horizontal="center" vertical="center"/>
    </xf>
    <xf numFmtId="166" fontId="2" fillId="3" borderId="4" xfId="1" applyNumberFormat="1" applyFont="1" applyFill="1" applyBorder="1" applyAlignment="1" applyProtection="1">
      <alignment horizontal="center" vertical="center"/>
    </xf>
    <xf numFmtId="166" fontId="2" fillId="3" borderId="1" xfId="1" applyNumberFormat="1" applyFont="1" applyFill="1" applyBorder="1" applyAlignment="1" applyProtection="1">
      <alignment horizontal="center" vertical="center" wrapText="1"/>
    </xf>
    <xf numFmtId="166" fontId="2" fillId="10" borderId="0" xfId="1" applyNumberFormat="1" applyFont="1" applyFill="1" applyBorder="1" applyAlignment="1" applyProtection="1">
      <alignment horizontal="center" vertical="center"/>
      <protection locked="0"/>
    </xf>
    <xf numFmtId="166" fontId="6" fillId="10" borderId="0" xfId="1" applyNumberFormat="1" applyFont="1" applyFill="1" applyBorder="1" applyAlignment="1" applyProtection="1">
      <alignment horizontal="center" vertical="center"/>
      <protection locked="0"/>
    </xf>
    <xf numFmtId="166" fontId="2" fillId="3" borderId="1" xfId="1" applyNumberFormat="1" applyFont="1" applyFill="1" applyBorder="1" applyAlignment="1" applyProtection="1">
      <alignment horizontal="center" vertical="center"/>
    </xf>
    <xf numFmtId="166" fontId="2" fillId="3" borderId="11" xfId="1" applyNumberFormat="1" applyFont="1" applyFill="1" applyBorder="1" applyAlignment="1" applyProtection="1">
      <alignment horizontal="center" vertical="center" wrapText="1"/>
    </xf>
    <xf numFmtId="166" fontId="2" fillId="3" borderId="7" xfId="1" applyNumberFormat="1" applyFont="1" applyFill="1" applyBorder="1" applyAlignment="1" applyProtection="1">
      <alignment horizontal="center" vertical="center" wrapText="1"/>
    </xf>
    <xf numFmtId="166" fontId="2" fillId="3" borderId="12" xfId="1" applyNumberFormat="1" applyFont="1" applyFill="1" applyBorder="1" applyAlignment="1" applyProtection="1">
      <alignment horizontal="center" vertical="center" wrapText="1"/>
    </xf>
    <xf numFmtId="166" fontId="2" fillId="3" borderId="13" xfId="1" applyNumberFormat="1" applyFont="1" applyFill="1" applyBorder="1" applyAlignment="1" applyProtection="1">
      <alignment horizontal="center" vertical="center" wrapText="1"/>
    </xf>
    <xf numFmtId="166" fontId="2" fillId="3" borderId="8" xfId="1" applyNumberFormat="1" applyFont="1" applyFill="1" applyBorder="1" applyAlignment="1" applyProtection="1">
      <alignment horizontal="center" vertical="center" wrapText="1"/>
    </xf>
    <xf numFmtId="166" fontId="2" fillId="3" borderId="14" xfId="1" applyNumberFormat="1" applyFont="1" applyFill="1" applyBorder="1" applyAlignment="1" applyProtection="1">
      <alignment horizontal="center" vertical="center" wrapText="1"/>
    </xf>
    <xf numFmtId="43" fontId="2" fillId="3" borderId="9" xfId="1" applyNumberFormat="1" applyFont="1" applyFill="1" applyBorder="1" applyAlignment="1" applyProtection="1">
      <alignment horizontal="center" vertical="center" wrapText="1"/>
    </xf>
    <xf numFmtId="43" fontId="2" fillId="3" borderId="4" xfId="1" applyNumberFormat="1" applyFont="1" applyFill="1" applyBorder="1" applyAlignment="1" applyProtection="1">
      <alignment horizontal="center" vertical="center" wrapText="1"/>
    </xf>
    <xf numFmtId="166" fontId="7" fillId="0" borderId="0" xfId="1" applyNumberFormat="1" applyFont="1" applyFill="1" applyAlignment="1" applyProtection="1">
      <alignment horizontal="center"/>
      <protection locked="0"/>
    </xf>
    <xf numFmtId="166" fontId="7" fillId="2" borderId="0" xfId="1" applyNumberFormat="1" applyFont="1" applyFill="1" applyAlignment="1" applyProtection="1">
      <alignment horizontal="center"/>
      <protection locked="0"/>
    </xf>
    <xf numFmtId="166" fontId="5" fillId="0" borderId="0" xfId="1" applyNumberFormat="1" applyFont="1" applyFill="1" applyAlignment="1" applyProtection="1">
      <alignment horizontal="center"/>
      <protection locked="0"/>
    </xf>
    <xf numFmtId="166" fontId="5" fillId="2" borderId="0" xfId="1" applyNumberFormat="1" applyFont="1" applyFill="1" applyAlignment="1" applyProtection="1">
      <alignment horizontal="center"/>
      <protection locked="0"/>
    </xf>
    <xf numFmtId="166" fontId="5" fillId="2" borderId="0" xfId="0" applyNumberFormat="1" applyFont="1" applyFill="1" applyAlignment="1" applyProtection="1">
      <alignment horizontal="center"/>
      <protection locked="0"/>
    </xf>
    <xf numFmtId="0" fontId="5" fillId="2" borderId="0" xfId="0" applyFont="1" applyFill="1" applyAlignment="1" applyProtection="1">
      <alignment horizontal="center"/>
      <protection locked="0"/>
    </xf>
    <xf numFmtId="0" fontId="5" fillId="0" borderId="0" xfId="0" applyFont="1" applyFill="1" applyAlignment="1" applyProtection="1">
      <alignment horizontal="right"/>
      <protection locked="0"/>
    </xf>
  </cellXfs>
  <cellStyles count="9">
    <cellStyle name="Comma" xfId="1" builtinId="3"/>
    <cellStyle name="Comma 2" xfId="2"/>
    <cellStyle name="Comma 2 2" xfId="3"/>
    <cellStyle name="Comma 3" xfId="4"/>
    <cellStyle name="Normal" xfId="0" builtinId="0"/>
    <cellStyle name="Normal 2" xfId="5"/>
    <cellStyle name="Normal_Bieu BC cap Huyen - Xa " xfId="6"/>
    <cellStyle name="Normal_Sheet1" xfId="7"/>
    <cellStyle name="Normal_Sheet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K%20KCB%206%20thang%20SK%20cac%20&#272;V/B&#7842;NG%20S&#7888;%20LI&#7878;U%20TH&#193;NG%206%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yPC/Downloads/bc%202017/B&#225;o%20c&#225;o%20th&#225;ng%2010-2017/b&#225;o%20c&#225;o%20th&#7889;ng%20k&#234;%20y%20t&#7871;%20th&#225;ng%2010%20n&#259;m%202017%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hong%20Th&#78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át triển sự nghiệp"/>
      <sheetName val="2017_KẾT QUẢ ĐIỀU TRỊ LAO"/>
      <sheetName val="KET QUẢ 2016"/>
      <sheetName val="2017_CÔNG TÁC PHÁT HIỆN"/>
      <sheetName val="ARI"/>
      <sheetName val="TH 2016"/>
      <sheetName val="Sheet2"/>
      <sheetName val="SO SANH CHUONG TRINH LAO"/>
      <sheetName val="SO SANH KHAM CHUA BENH"/>
      <sheetName val="2017_PHÒNG KHÁM"/>
      <sheetName val="2017_KHOA PHỔI"/>
      <sheetName val="2017_ĐIỀU TRỊ TOÀN VIỆN"/>
      <sheetName val="Sheet3"/>
      <sheetName val="2017_LAO NG.PHỔI"/>
      <sheetName val="2017_HỒI SỨC CẤP CỨU"/>
      <sheetName val="Sheet5"/>
      <sheetName val="2017_KHOA LAO"/>
      <sheetName val="HIV"/>
      <sheetName val="2017công tác cận lâm sàng"/>
      <sheetName val="báo cáo theo giới và nhóm tuổi"/>
      <sheetName val="KHÁM BỆNH"/>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5">
          <cell r="H5">
            <v>112</v>
          </cell>
        </row>
        <row r="6">
          <cell r="H6">
            <v>78</v>
          </cell>
        </row>
        <row r="7">
          <cell r="H7">
            <v>124</v>
          </cell>
        </row>
        <row r="8">
          <cell r="H8">
            <v>156</v>
          </cell>
        </row>
        <row r="9">
          <cell r="H9">
            <v>187</v>
          </cell>
        </row>
        <row r="10">
          <cell r="H10">
            <v>149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n KCB 139_2011"/>
      <sheetName val=" Tien KCB 139_2012"/>
      <sheetName val=" TH-CTKH_2017"/>
      <sheetName val="Dat Chuan"/>
      <sheetName val="The BHYT_2012"/>
      <sheetName val="Xet Nghiem"/>
      <sheetName val="Cao Cao_UBND Huyen"/>
      <sheetName val="BC_HIV"/>
      <sheetName val="Ty Le Sinh"/>
      <sheetName val="So Lieu CT 06 TW"/>
    </sheetNames>
    <sheetDataSet>
      <sheetData sheetId="0" refreshError="1"/>
      <sheetData sheetId="1" refreshError="1"/>
      <sheetData sheetId="2" refreshError="1">
        <row r="14">
          <cell r="O14">
            <v>14384</v>
          </cell>
          <cell r="Q14">
            <v>12516</v>
          </cell>
        </row>
        <row r="17">
          <cell r="O17">
            <v>701</v>
          </cell>
          <cell r="Q17">
            <v>900</v>
          </cell>
        </row>
        <row r="20">
          <cell r="O20">
            <v>7688</v>
          </cell>
          <cell r="Q20">
            <v>7766</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CB chung "/>
      <sheetName val="KCB người nghèo"/>
      <sheetName val="KCB trẻ &lt; 6 tuổi"/>
      <sheetName val="Ước 12 tháng (ước t11,t12)"/>
      <sheetName val="KCB chung"/>
      <sheetName val="KCB TE &lt; 6 tuổi"/>
      <sheetName val="KCB chungok"/>
      <sheetName val="Tháng 1"/>
      <sheetName val="Tháng 2"/>
      <sheetName val="Tháng 3"/>
      <sheetName val="3 tháng"/>
      <sheetName val="T4"/>
      <sheetName val="T5"/>
      <sheetName val="T6"/>
      <sheetName val="6 tháng"/>
      <sheetName val="T7"/>
      <sheetName val="T8"/>
      <sheetName val="T9"/>
      <sheetName val="9 tháng"/>
      <sheetName val="T10"/>
      <sheetName val="T11"/>
      <sheetName val="T12"/>
      <sheetName val="12 tháng"/>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topLeftCell="A28" workbookViewId="0">
      <selection activeCell="I27" sqref="I27"/>
    </sheetView>
  </sheetViews>
  <sheetFormatPr defaultRowHeight="12.75"/>
  <cols>
    <col min="1" max="1" width="5.140625" style="146" customWidth="1"/>
    <col min="2" max="2" width="29.42578125" style="146" customWidth="1"/>
    <col min="3" max="3" width="9.140625" style="146"/>
    <col min="4" max="4" width="11.28515625" style="182" bestFit="1" customWidth="1"/>
    <col min="5" max="5" width="10.7109375" style="183" customWidth="1"/>
    <col min="6" max="6" width="12" style="183" hidden="1" customWidth="1"/>
    <col min="7" max="7" width="11.28515625" style="184" bestFit="1" customWidth="1"/>
    <col min="8" max="8" width="11.28515625" style="184" customWidth="1"/>
    <col min="9" max="9" width="12.28515625" style="185" customWidth="1"/>
    <col min="10" max="10" width="9.140625" style="185"/>
    <col min="11" max="11" width="11.42578125" style="146" customWidth="1"/>
    <col min="12" max="12" width="12" style="146" customWidth="1"/>
    <col min="13" max="16384" width="9.140625" style="146"/>
  </cols>
  <sheetData>
    <row r="1" spans="1:14">
      <c r="A1" s="243" t="s">
        <v>174</v>
      </c>
      <c r="B1" s="243"/>
      <c r="C1" s="141"/>
      <c r="D1" s="142"/>
      <c r="E1" s="143"/>
      <c r="F1" s="143"/>
      <c r="G1" s="144"/>
      <c r="H1" s="144"/>
      <c r="I1" s="145"/>
      <c r="J1" s="145"/>
      <c r="K1" s="141"/>
      <c r="L1" s="141"/>
    </row>
    <row r="2" spans="1:14" ht="15.75" customHeight="1">
      <c r="A2" s="244" t="s">
        <v>172</v>
      </c>
      <c r="B2" s="244"/>
      <c r="C2" s="244"/>
      <c r="D2" s="244"/>
      <c r="E2" s="244"/>
      <c r="F2" s="244"/>
      <c r="G2" s="244"/>
      <c r="H2" s="244"/>
      <c r="I2" s="244"/>
      <c r="J2" s="244"/>
      <c r="K2" s="244"/>
      <c r="L2" s="244"/>
    </row>
    <row r="3" spans="1:14" ht="15.75">
      <c r="A3" s="245" t="s">
        <v>173</v>
      </c>
      <c r="B3" s="245"/>
      <c r="C3" s="245"/>
      <c r="D3" s="245"/>
      <c r="E3" s="245"/>
      <c r="F3" s="245"/>
      <c r="G3" s="245"/>
      <c r="H3" s="245"/>
      <c r="I3" s="245"/>
      <c r="J3" s="245"/>
      <c r="K3" s="245"/>
      <c r="L3" s="245"/>
    </row>
    <row r="4" spans="1:14" ht="15.75">
      <c r="A4" s="147"/>
      <c r="B4" s="147"/>
      <c r="C4" s="147"/>
      <c r="D4" s="148"/>
      <c r="E4" s="148"/>
      <c r="F4" s="148"/>
      <c r="G4" s="147"/>
      <c r="H4" s="147"/>
      <c r="I4" s="147"/>
      <c r="J4" s="147"/>
      <c r="K4" s="147"/>
      <c r="L4" s="147"/>
    </row>
    <row r="5" spans="1:14" ht="12.75" customHeight="1">
      <c r="A5" s="246" t="s">
        <v>32</v>
      </c>
      <c r="B5" s="247" t="s">
        <v>71</v>
      </c>
      <c r="C5" s="247" t="s">
        <v>72</v>
      </c>
      <c r="D5" s="248" t="s">
        <v>73</v>
      </c>
      <c r="E5" s="249" t="s">
        <v>74</v>
      </c>
      <c r="F5" s="249"/>
      <c r="G5" s="249"/>
      <c r="H5" s="249" t="s">
        <v>75</v>
      </c>
      <c r="I5" s="249" t="s">
        <v>76</v>
      </c>
      <c r="J5" s="249"/>
      <c r="K5" s="250" t="s">
        <v>77</v>
      </c>
      <c r="L5" s="250" t="s">
        <v>78</v>
      </c>
    </row>
    <row r="6" spans="1:14" ht="85.5" customHeight="1">
      <c r="A6" s="246"/>
      <c r="B6" s="247"/>
      <c r="C6" s="247"/>
      <c r="D6" s="248"/>
      <c r="E6" s="149" t="s">
        <v>79</v>
      </c>
      <c r="F6" s="149" t="s">
        <v>80</v>
      </c>
      <c r="G6" s="150" t="s">
        <v>184</v>
      </c>
      <c r="H6" s="249"/>
      <c r="I6" s="150" t="s">
        <v>185</v>
      </c>
      <c r="J6" s="150" t="s">
        <v>186</v>
      </c>
      <c r="K6" s="250"/>
      <c r="L6" s="250"/>
    </row>
    <row r="7" spans="1:14">
      <c r="A7" s="151" t="s">
        <v>81</v>
      </c>
      <c r="B7" s="151" t="s">
        <v>82</v>
      </c>
      <c r="C7" s="151" t="s">
        <v>83</v>
      </c>
      <c r="D7" s="152">
        <v>1</v>
      </c>
      <c r="E7" s="152">
        <v>2</v>
      </c>
      <c r="F7" s="152"/>
      <c r="G7" s="153">
        <v>6</v>
      </c>
      <c r="H7" s="153"/>
      <c r="I7" s="154">
        <v>7</v>
      </c>
      <c r="J7" s="154">
        <v>8</v>
      </c>
      <c r="K7" s="151">
        <v>9</v>
      </c>
      <c r="L7" s="151">
        <v>10</v>
      </c>
    </row>
    <row r="8" spans="1:14" ht="13.5">
      <c r="A8" s="187"/>
      <c r="B8" s="187"/>
      <c r="C8" s="187"/>
      <c r="D8" s="188"/>
      <c r="E8" s="188"/>
      <c r="F8" s="189"/>
      <c r="G8" s="190"/>
      <c r="H8" s="190"/>
      <c r="I8" s="191"/>
      <c r="J8" s="191"/>
      <c r="K8" s="187"/>
      <c r="L8" s="187"/>
      <c r="N8" s="155"/>
    </row>
    <row r="9" spans="1:14">
      <c r="A9" s="156" t="s">
        <v>11</v>
      </c>
      <c r="B9" s="157" t="s">
        <v>84</v>
      </c>
      <c r="C9" s="157"/>
      <c r="D9" s="158"/>
      <c r="E9" s="158"/>
      <c r="F9" s="158"/>
      <c r="G9" s="157"/>
      <c r="H9" s="157"/>
      <c r="I9" s="157"/>
      <c r="J9" s="157"/>
      <c r="K9" s="157"/>
      <c r="L9" s="157"/>
    </row>
    <row r="10" spans="1:14">
      <c r="A10" s="192">
        <v>1</v>
      </c>
      <c r="B10" s="193" t="s">
        <v>85</v>
      </c>
      <c r="C10" s="192"/>
      <c r="D10" s="169"/>
      <c r="E10" s="161"/>
      <c r="F10" s="169"/>
      <c r="G10" s="194"/>
      <c r="H10" s="194"/>
      <c r="I10" s="163"/>
      <c r="J10" s="164"/>
      <c r="K10" s="195"/>
      <c r="L10" s="156"/>
    </row>
    <row r="11" spans="1:14">
      <c r="A11" s="192"/>
      <c r="B11" s="196" t="s">
        <v>86</v>
      </c>
      <c r="C11" s="197" t="s">
        <v>87</v>
      </c>
      <c r="D11" s="198">
        <f>D13+D14</f>
        <v>484146</v>
      </c>
      <c r="E11" s="170">
        <f>E13+E14</f>
        <v>490022</v>
      </c>
      <c r="F11" s="199">
        <f>F13+F14</f>
        <v>489282</v>
      </c>
      <c r="G11" s="199">
        <f>G13+G14</f>
        <v>489180</v>
      </c>
      <c r="H11" s="199">
        <f>H13+H14</f>
        <v>495283</v>
      </c>
      <c r="I11" s="163"/>
      <c r="J11" s="164"/>
      <c r="K11" s="195"/>
      <c r="L11" s="156"/>
    </row>
    <row r="12" spans="1:14">
      <c r="A12" s="192"/>
      <c r="B12" s="200" t="s">
        <v>88</v>
      </c>
      <c r="C12" s="197"/>
      <c r="D12" s="198"/>
      <c r="E12" s="169"/>
      <c r="F12" s="199"/>
      <c r="G12" s="199"/>
      <c r="H12" s="199"/>
      <c r="I12" s="163"/>
      <c r="J12" s="164"/>
      <c r="K12" s="195"/>
      <c r="L12" s="156"/>
    </row>
    <row r="13" spans="1:14">
      <c r="A13" s="192"/>
      <c r="B13" s="200" t="s">
        <v>89</v>
      </c>
      <c r="C13" s="197" t="s">
        <v>87</v>
      </c>
      <c r="D13" s="198">
        <v>85648</v>
      </c>
      <c r="E13" s="170">
        <v>87930</v>
      </c>
      <c r="F13" s="199">
        <v>86471</v>
      </c>
      <c r="G13" s="199">
        <v>86403</v>
      </c>
      <c r="H13" s="199">
        <v>87835</v>
      </c>
      <c r="I13" s="163"/>
      <c r="J13" s="164"/>
      <c r="K13" s="195"/>
      <c r="L13" s="156"/>
    </row>
    <row r="14" spans="1:14">
      <c r="A14" s="192"/>
      <c r="B14" s="200" t="s">
        <v>90</v>
      </c>
      <c r="C14" s="197" t="s">
        <v>87</v>
      </c>
      <c r="D14" s="198">
        <v>398498</v>
      </c>
      <c r="E14" s="170">
        <v>402092</v>
      </c>
      <c r="F14" s="199">
        <v>402811</v>
      </c>
      <c r="G14" s="199">
        <v>402777</v>
      </c>
      <c r="H14" s="199">
        <v>407448</v>
      </c>
      <c r="I14" s="163"/>
      <c r="J14" s="164"/>
      <c r="K14" s="201"/>
      <c r="L14" s="201"/>
    </row>
    <row r="15" spans="1:14">
      <c r="A15" s="192"/>
      <c r="B15" s="202" t="s">
        <v>91</v>
      </c>
      <c r="C15" s="197" t="s">
        <v>92</v>
      </c>
      <c r="D15" s="198"/>
      <c r="E15" s="203">
        <v>68</v>
      </c>
      <c r="F15" s="199">
        <f>D15</f>
        <v>0</v>
      </c>
      <c r="G15" s="204">
        <v>67.599999999999994</v>
      </c>
      <c r="H15" s="204">
        <v>67.8</v>
      </c>
      <c r="I15" s="163"/>
      <c r="J15" s="164"/>
      <c r="K15" s="201"/>
      <c r="L15" s="201"/>
    </row>
    <row r="16" spans="1:14">
      <c r="A16" s="192"/>
      <c r="B16" s="200" t="s">
        <v>93</v>
      </c>
      <c r="C16" s="197"/>
      <c r="D16" s="198">
        <v>406849</v>
      </c>
      <c r="E16" s="170">
        <v>408401</v>
      </c>
      <c r="F16" s="199">
        <v>413047</v>
      </c>
      <c r="G16" s="199">
        <v>412270</v>
      </c>
      <c r="H16" s="199">
        <v>417952</v>
      </c>
      <c r="I16" s="163"/>
      <c r="J16" s="164"/>
      <c r="K16" s="201"/>
      <c r="L16" s="201"/>
    </row>
    <row r="17" spans="1:12">
      <c r="A17" s="192"/>
      <c r="B17" s="200" t="s">
        <v>94</v>
      </c>
      <c r="C17" s="197" t="s">
        <v>14</v>
      </c>
      <c r="D17" s="168">
        <v>1.19</v>
      </c>
      <c r="E17" s="205">
        <v>1.1000000000000001</v>
      </c>
      <c r="F17" s="204">
        <v>1.3</v>
      </c>
      <c r="G17" s="204">
        <v>1.23</v>
      </c>
      <c r="H17" s="204">
        <v>1.25</v>
      </c>
      <c r="I17" s="163"/>
      <c r="J17" s="164"/>
      <c r="K17" s="206"/>
      <c r="L17" s="206"/>
    </row>
    <row r="18" spans="1:12">
      <c r="A18" s="192"/>
      <c r="B18" s="200" t="s">
        <v>95</v>
      </c>
      <c r="C18" s="197" t="s">
        <v>180</v>
      </c>
      <c r="D18" s="168">
        <v>2.66</v>
      </c>
      <c r="E18" s="205">
        <v>0.4</v>
      </c>
      <c r="F18" s="204">
        <v>0.49</v>
      </c>
      <c r="G18" s="204">
        <v>0.54</v>
      </c>
      <c r="H18" s="204">
        <v>0.45</v>
      </c>
      <c r="I18" s="163"/>
      <c r="J18" s="164"/>
      <c r="K18" s="195"/>
      <c r="L18" s="156"/>
    </row>
    <row r="19" spans="1:12">
      <c r="A19" s="192"/>
      <c r="B19" s="200" t="s">
        <v>96</v>
      </c>
      <c r="C19" s="197" t="s">
        <v>97</v>
      </c>
      <c r="D19" s="168">
        <v>10.45</v>
      </c>
      <c r="E19" s="205">
        <v>13.88</v>
      </c>
      <c r="F19" s="204">
        <v>13.88</v>
      </c>
      <c r="G19" s="204">
        <v>11.27</v>
      </c>
      <c r="H19" s="204">
        <v>11.07</v>
      </c>
      <c r="I19" s="163"/>
      <c r="J19" s="164"/>
      <c r="K19" s="206"/>
      <c r="L19" s="206"/>
    </row>
    <row r="20" spans="1:12" s="186" customFormat="1" ht="31.5" customHeight="1">
      <c r="A20" s="192"/>
      <c r="B20" s="200" t="s">
        <v>98</v>
      </c>
      <c r="C20" s="197" t="s">
        <v>14</v>
      </c>
      <c r="D20" s="168">
        <v>118</v>
      </c>
      <c r="E20" s="207">
        <v>109</v>
      </c>
      <c r="F20" s="204">
        <v>111</v>
      </c>
      <c r="G20" s="204">
        <v>116</v>
      </c>
      <c r="H20" s="204">
        <v>109</v>
      </c>
      <c r="I20" s="251" t="s">
        <v>183</v>
      </c>
      <c r="J20" s="251"/>
      <c r="K20" s="251"/>
      <c r="L20" s="251"/>
    </row>
    <row r="21" spans="1:12">
      <c r="A21" s="192">
        <v>2</v>
      </c>
      <c r="B21" s="208" t="s">
        <v>99</v>
      </c>
      <c r="C21" s="197"/>
      <c r="D21" s="168"/>
      <c r="E21" s="170"/>
      <c r="F21" s="199"/>
      <c r="G21" s="199"/>
      <c r="H21" s="199"/>
      <c r="I21" s="163"/>
      <c r="J21" s="164"/>
      <c r="K21" s="206"/>
      <c r="L21" s="206"/>
    </row>
    <row r="22" spans="1:12" ht="22.5">
      <c r="A22" s="192"/>
      <c r="B22" s="200" t="s">
        <v>100</v>
      </c>
      <c r="C22" s="197" t="s">
        <v>14</v>
      </c>
      <c r="D22" s="168">
        <v>69.52</v>
      </c>
      <c r="E22" s="209">
        <v>69.8</v>
      </c>
      <c r="F22" s="204">
        <v>70</v>
      </c>
      <c r="G22" s="204">
        <v>69.7</v>
      </c>
      <c r="H22" s="204">
        <v>70.13</v>
      </c>
      <c r="I22" s="163"/>
      <c r="J22" s="164"/>
      <c r="K22" s="165"/>
      <c r="L22" s="192"/>
    </row>
    <row r="23" spans="1:12" ht="30.75" customHeight="1">
      <c r="A23" s="192"/>
      <c r="B23" s="200" t="s">
        <v>101</v>
      </c>
      <c r="C23" s="197" t="s">
        <v>14</v>
      </c>
      <c r="D23" s="168">
        <v>17.510000000000002</v>
      </c>
      <c r="E23" s="209">
        <v>15</v>
      </c>
      <c r="F23" s="204">
        <v>17.55</v>
      </c>
      <c r="G23" s="204">
        <v>17.7</v>
      </c>
      <c r="H23" s="204">
        <v>15.4</v>
      </c>
      <c r="I23" s="251" t="s">
        <v>183</v>
      </c>
      <c r="J23" s="251"/>
      <c r="K23" s="251"/>
      <c r="L23" s="251"/>
    </row>
    <row r="24" spans="1:12">
      <c r="A24" s="156" t="s">
        <v>82</v>
      </c>
      <c r="B24" s="157" t="s">
        <v>102</v>
      </c>
      <c r="C24" s="159"/>
      <c r="D24" s="160"/>
      <c r="E24" s="161"/>
      <c r="F24" s="160"/>
      <c r="G24" s="162"/>
      <c r="H24" s="162"/>
      <c r="I24" s="163"/>
      <c r="J24" s="164"/>
      <c r="K24" s="165"/>
      <c r="L24" s="159"/>
    </row>
    <row r="25" spans="1:12">
      <c r="A25" s="166" t="s">
        <v>11</v>
      </c>
      <c r="B25" s="210" t="s">
        <v>103</v>
      </c>
      <c r="C25" s="159"/>
      <c r="D25" s="160"/>
      <c r="E25" s="161"/>
      <c r="F25" s="160"/>
      <c r="G25" s="162"/>
      <c r="H25" s="162"/>
      <c r="I25" s="163"/>
      <c r="J25" s="164"/>
      <c r="K25" s="165"/>
      <c r="L25" s="159"/>
    </row>
    <row r="26" spans="1:12">
      <c r="A26" s="211">
        <v>1</v>
      </c>
      <c r="B26" s="176" t="s">
        <v>181</v>
      </c>
      <c r="C26" s="211" t="s">
        <v>104</v>
      </c>
      <c r="D26" s="169">
        <v>120</v>
      </c>
      <c r="E26" s="169">
        <f>SUM(E27:E33)</f>
        <v>120</v>
      </c>
      <c r="F26" s="169">
        <f>SUM(F27:F33)</f>
        <v>120</v>
      </c>
      <c r="G26" s="194">
        <f>SUM(G27:G33)</f>
        <v>120</v>
      </c>
      <c r="H26" s="194">
        <f>SUM(H27:H33)</f>
        <v>120</v>
      </c>
      <c r="I26" s="163"/>
      <c r="J26" s="164"/>
      <c r="K26" s="165"/>
      <c r="L26" s="159"/>
    </row>
    <row r="27" spans="1:12">
      <c r="A27" s="212"/>
      <c r="B27" s="213" t="s">
        <v>105</v>
      </c>
      <c r="C27" s="212" t="s">
        <v>106</v>
      </c>
      <c r="D27" s="170">
        <v>1</v>
      </c>
      <c r="E27" s="169">
        <v>1</v>
      </c>
      <c r="F27" s="170">
        <v>1</v>
      </c>
      <c r="G27" s="194">
        <v>1</v>
      </c>
      <c r="H27" s="194">
        <v>1</v>
      </c>
      <c r="I27" s="163"/>
      <c r="J27" s="164"/>
      <c r="K27" s="165"/>
      <c r="L27" s="159"/>
    </row>
    <row r="28" spans="1:12">
      <c r="A28" s="212"/>
      <c r="B28" s="213" t="s">
        <v>107</v>
      </c>
      <c r="C28" s="212" t="s">
        <v>106</v>
      </c>
      <c r="D28" s="170">
        <v>2</v>
      </c>
      <c r="E28" s="169">
        <v>2</v>
      </c>
      <c r="F28" s="170">
        <v>2</v>
      </c>
      <c r="G28" s="194">
        <v>2</v>
      </c>
      <c r="H28" s="194">
        <v>2</v>
      </c>
      <c r="I28" s="163"/>
      <c r="J28" s="164"/>
      <c r="K28" s="165"/>
      <c r="L28" s="159"/>
    </row>
    <row r="29" spans="1:12">
      <c r="A29" s="212"/>
      <c r="B29" s="214" t="s">
        <v>108</v>
      </c>
      <c r="C29" s="212" t="s">
        <v>109</v>
      </c>
      <c r="D29" s="170">
        <v>1</v>
      </c>
      <c r="E29" s="169">
        <v>1</v>
      </c>
      <c r="F29" s="170">
        <v>1</v>
      </c>
      <c r="G29" s="194">
        <v>1</v>
      </c>
      <c r="H29" s="194">
        <v>1</v>
      </c>
      <c r="I29" s="163"/>
      <c r="J29" s="164"/>
      <c r="K29" s="165"/>
      <c r="L29" s="159"/>
    </row>
    <row r="30" spans="1:12">
      <c r="A30" s="212"/>
      <c r="B30" s="213" t="s">
        <v>110</v>
      </c>
      <c r="C30" s="212" t="s">
        <v>109</v>
      </c>
      <c r="D30" s="170">
        <v>8</v>
      </c>
      <c r="E30" s="169">
        <v>8</v>
      </c>
      <c r="F30" s="170">
        <v>8</v>
      </c>
      <c r="G30" s="194">
        <v>8</v>
      </c>
      <c r="H30" s="194">
        <v>8</v>
      </c>
      <c r="I30" s="163"/>
      <c r="J30" s="164"/>
      <c r="K30" s="165"/>
      <c r="L30" s="159"/>
    </row>
    <row r="31" spans="1:12">
      <c r="A31" s="212"/>
      <c r="B31" s="214" t="s">
        <v>111</v>
      </c>
      <c r="C31" s="212" t="s">
        <v>109</v>
      </c>
      <c r="D31" s="170">
        <v>1</v>
      </c>
      <c r="E31" s="169">
        <v>1</v>
      </c>
      <c r="F31" s="170">
        <v>1</v>
      </c>
      <c r="G31" s="194">
        <v>1</v>
      </c>
      <c r="H31" s="194">
        <v>1</v>
      </c>
      <c r="I31" s="163"/>
      <c r="J31" s="164"/>
      <c r="K31" s="165"/>
      <c r="L31" s="159"/>
    </row>
    <row r="32" spans="1:12">
      <c r="A32" s="212"/>
      <c r="B32" s="215" t="s">
        <v>112</v>
      </c>
      <c r="C32" s="212" t="s">
        <v>113</v>
      </c>
      <c r="D32" s="170">
        <v>4</v>
      </c>
      <c r="E32" s="169">
        <v>4</v>
      </c>
      <c r="F32" s="170">
        <v>4</v>
      </c>
      <c r="G32" s="194">
        <v>4</v>
      </c>
      <c r="H32" s="194">
        <v>4</v>
      </c>
      <c r="I32" s="163"/>
      <c r="J32" s="164"/>
      <c r="K32" s="165"/>
      <c r="L32" s="159"/>
    </row>
    <row r="33" spans="1:12">
      <c r="A33" s="212"/>
      <c r="B33" s="215" t="s">
        <v>114</v>
      </c>
      <c r="C33" s="212" t="s">
        <v>115</v>
      </c>
      <c r="D33" s="170">
        <v>103</v>
      </c>
      <c r="E33" s="169">
        <v>103</v>
      </c>
      <c r="F33" s="170">
        <v>103</v>
      </c>
      <c r="G33" s="194">
        <v>103</v>
      </c>
      <c r="H33" s="194">
        <v>103</v>
      </c>
      <c r="I33" s="163"/>
      <c r="J33" s="164"/>
      <c r="K33" s="165"/>
      <c r="L33" s="159"/>
    </row>
    <row r="34" spans="1:12">
      <c r="A34" s="212"/>
      <c r="B34" s="215" t="s">
        <v>116</v>
      </c>
      <c r="C34" s="212" t="s">
        <v>14</v>
      </c>
      <c r="D34" s="203">
        <v>94.2</v>
      </c>
      <c r="E34" s="203">
        <v>94.2</v>
      </c>
      <c r="F34" s="203">
        <v>94.2</v>
      </c>
      <c r="G34" s="204">
        <v>94.2</v>
      </c>
      <c r="H34" s="204">
        <v>100</v>
      </c>
      <c r="I34" s="163"/>
      <c r="J34" s="164"/>
      <c r="K34" s="165"/>
      <c r="L34" s="159"/>
    </row>
    <row r="35" spans="1:12">
      <c r="A35" s="211">
        <v>2</v>
      </c>
      <c r="B35" s="176" t="s">
        <v>117</v>
      </c>
      <c r="C35" s="211" t="s">
        <v>104</v>
      </c>
      <c r="D35" s="170">
        <v>2</v>
      </c>
      <c r="E35" s="169">
        <v>2</v>
      </c>
      <c r="F35" s="170">
        <v>2</v>
      </c>
      <c r="G35" s="194">
        <v>2</v>
      </c>
      <c r="H35" s="194">
        <v>2</v>
      </c>
      <c r="I35" s="163"/>
      <c r="J35" s="164"/>
      <c r="K35" s="165"/>
      <c r="L35" s="159"/>
    </row>
    <row r="36" spans="1:12">
      <c r="A36" s="211">
        <v>3</v>
      </c>
      <c r="B36" s="216" t="s">
        <v>118</v>
      </c>
      <c r="C36" s="211" t="s">
        <v>119</v>
      </c>
      <c r="D36" s="169">
        <v>1590</v>
      </c>
      <c r="E36" s="169">
        <f>E37+E38</f>
        <v>1590</v>
      </c>
      <c r="F36" s="169">
        <f>F37+F38</f>
        <v>1590</v>
      </c>
      <c r="G36" s="194">
        <f>G37+G38</f>
        <v>1590</v>
      </c>
      <c r="H36" s="194">
        <f>H37+H38</f>
        <v>1600</v>
      </c>
      <c r="I36" s="163"/>
      <c r="J36" s="164"/>
      <c r="K36" s="165"/>
      <c r="L36" s="159"/>
    </row>
    <row r="37" spans="1:12">
      <c r="A37" s="211"/>
      <c r="B37" s="216" t="s">
        <v>120</v>
      </c>
      <c r="C37" s="211" t="s">
        <v>119</v>
      </c>
      <c r="D37" s="169">
        <v>670</v>
      </c>
      <c r="E37" s="169">
        <v>670</v>
      </c>
      <c r="F37" s="169">
        <v>670</v>
      </c>
      <c r="G37" s="194">
        <v>670</v>
      </c>
      <c r="H37" s="194">
        <v>680</v>
      </c>
      <c r="I37" s="163"/>
      <c r="J37" s="164"/>
      <c r="K37" s="165"/>
      <c r="L37" s="159"/>
    </row>
    <row r="38" spans="1:12">
      <c r="A38" s="211"/>
      <c r="B38" s="216" t="s">
        <v>121</v>
      </c>
      <c r="C38" s="211" t="s">
        <v>119</v>
      </c>
      <c r="D38" s="170">
        <v>920</v>
      </c>
      <c r="E38" s="169">
        <f>E39+E40</f>
        <v>920</v>
      </c>
      <c r="F38" s="170">
        <v>920</v>
      </c>
      <c r="G38" s="194">
        <v>920</v>
      </c>
      <c r="H38" s="194">
        <v>920</v>
      </c>
      <c r="I38" s="163"/>
      <c r="J38" s="164"/>
      <c r="K38" s="165"/>
      <c r="L38" s="159"/>
    </row>
    <row r="39" spans="1:12" ht="24" customHeight="1">
      <c r="A39" s="212"/>
      <c r="B39" s="242" t="s">
        <v>122</v>
      </c>
      <c r="C39" s="211" t="s">
        <v>119</v>
      </c>
      <c r="D39" s="170">
        <v>860</v>
      </c>
      <c r="E39" s="169">
        <v>860</v>
      </c>
      <c r="F39" s="170">
        <v>860</v>
      </c>
      <c r="G39" s="194">
        <v>860</v>
      </c>
      <c r="H39" s="194">
        <v>860</v>
      </c>
      <c r="I39" s="163"/>
      <c r="J39" s="164"/>
      <c r="K39" s="165"/>
      <c r="L39" s="159"/>
    </row>
    <row r="40" spans="1:12">
      <c r="A40" s="212"/>
      <c r="B40" s="217" t="s">
        <v>123</v>
      </c>
      <c r="C40" s="212" t="s">
        <v>119</v>
      </c>
      <c r="D40" s="170">
        <v>60</v>
      </c>
      <c r="E40" s="169">
        <v>60</v>
      </c>
      <c r="F40" s="170">
        <v>60</v>
      </c>
      <c r="G40" s="194">
        <v>60</v>
      </c>
      <c r="H40" s="194">
        <v>60</v>
      </c>
      <c r="I40" s="163"/>
      <c r="J40" s="164"/>
      <c r="K40" s="165"/>
      <c r="L40" s="159"/>
    </row>
    <row r="41" spans="1:12" ht="22.5">
      <c r="A41" s="211">
        <v>4</v>
      </c>
      <c r="B41" s="176" t="s">
        <v>124</v>
      </c>
      <c r="C41" s="211" t="s">
        <v>119</v>
      </c>
      <c r="D41" s="203">
        <f>D36/D11*10000</f>
        <v>32.841332986330571</v>
      </c>
      <c r="E41" s="203">
        <f>E36/E11*10000</f>
        <v>32.447522764284052</v>
      </c>
      <c r="F41" s="203">
        <f>F36/F11*10000</f>
        <v>32.496597054459393</v>
      </c>
      <c r="G41" s="204">
        <f>G36/G11*10000</f>
        <v>32.503372991536857</v>
      </c>
      <c r="H41" s="204">
        <f>H36/H11*10000</f>
        <v>32.304763135419549</v>
      </c>
      <c r="I41" s="163"/>
      <c r="J41" s="164"/>
      <c r="K41" s="165"/>
      <c r="L41" s="159"/>
    </row>
    <row r="42" spans="1:12" ht="22.5">
      <c r="A42" s="212"/>
      <c r="B42" s="218" t="s">
        <v>125</v>
      </c>
      <c r="C42" s="212" t="s">
        <v>126</v>
      </c>
      <c r="D42" s="203">
        <v>32.840000000000003</v>
      </c>
      <c r="E42" s="203">
        <f>E36/E11*10000</f>
        <v>32.447522764284052</v>
      </c>
      <c r="F42" s="203">
        <f>F36/F11*10000</f>
        <v>32.496597054459393</v>
      </c>
      <c r="G42" s="204">
        <f>G36/G11*10000</f>
        <v>32.503372991536857</v>
      </c>
      <c r="H42" s="204">
        <f>H41</f>
        <v>32.304763135419549</v>
      </c>
      <c r="I42" s="163"/>
      <c r="J42" s="164"/>
      <c r="K42" s="165"/>
      <c r="L42" s="159"/>
    </row>
    <row r="43" spans="1:12">
      <c r="A43" s="166" t="s">
        <v>12</v>
      </c>
      <c r="B43" s="167" t="s">
        <v>127</v>
      </c>
      <c r="C43" s="166"/>
      <c r="D43" s="168"/>
      <c r="E43" s="169"/>
      <c r="F43" s="170"/>
      <c r="G43" s="171"/>
      <c r="H43" s="171"/>
      <c r="I43" s="163"/>
      <c r="J43" s="164"/>
      <c r="K43" s="165"/>
      <c r="L43" s="159"/>
    </row>
    <row r="44" spans="1:12">
      <c r="A44" s="211">
        <v>1</v>
      </c>
      <c r="B44" s="176" t="s">
        <v>128</v>
      </c>
      <c r="C44" s="211" t="s">
        <v>87</v>
      </c>
      <c r="D44" s="170">
        <v>2735</v>
      </c>
      <c r="E44" s="169">
        <v>2935</v>
      </c>
      <c r="F44" s="194">
        <v>2784</v>
      </c>
      <c r="G44" s="194">
        <v>2784</v>
      </c>
      <c r="H44" s="194">
        <v>2935</v>
      </c>
      <c r="I44" s="163"/>
      <c r="J44" s="164"/>
      <c r="K44" s="165"/>
      <c r="L44" s="159"/>
    </row>
    <row r="45" spans="1:12">
      <c r="A45" s="211"/>
      <c r="B45" s="176" t="s">
        <v>129</v>
      </c>
      <c r="C45" s="211"/>
      <c r="D45" s="170"/>
      <c r="E45" s="169"/>
      <c r="F45" s="194"/>
      <c r="G45" s="194"/>
      <c r="H45" s="194"/>
      <c r="I45" s="163"/>
      <c r="J45" s="164"/>
      <c r="K45" s="165"/>
      <c r="L45" s="159"/>
    </row>
    <row r="46" spans="1:12" ht="15.75" customHeight="1">
      <c r="A46" s="211" t="s">
        <v>130</v>
      </c>
      <c r="B46" s="176" t="s">
        <v>131</v>
      </c>
      <c r="C46" s="211" t="s">
        <v>87</v>
      </c>
      <c r="D46" s="170">
        <v>591</v>
      </c>
      <c r="E46" s="169">
        <v>638</v>
      </c>
      <c r="F46" s="194">
        <v>615</v>
      </c>
      <c r="G46" s="194">
        <v>612</v>
      </c>
      <c r="H46" s="153">
        <v>650</v>
      </c>
      <c r="I46" s="252" t="s">
        <v>177</v>
      </c>
      <c r="J46" s="252"/>
      <c r="K46" s="252"/>
      <c r="L46" s="252"/>
    </row>
    <row r="47" spans="1:12" s="186" customFormat="1" ht="36.75" customHeight="1">
      <c r="A47" s="241"/>
      <c r="B47" s="215" t="s">
        <v>132</v>
      </c>
      <c r="C47" s="212" t="s">
        <v>133</v>
      </c>
      <c r="D47" s="203">
        <f>D46/D11*10000</f>
        <v>12.207061506239853</v>
      </c>
      <c r="E47" s="203">
        <f>E46/E11*10000</f>
        <v>13.019823599756746</v>
      </c>
      <c r="F47" s="203">
        <f>F46/F11*10000</f>
        <v>12.569438483328634</v>
      </c>
      <c r="G47" s="203">
        <f>G46/G11*10000</f>
        <v>12.510732245799092</v>
      </c>
      <c r="H47" s="219">
        <f>H46/H11*10000</f>
        <v>13.123810023764191</v>
      </c>
      <c r="I47" s="252"/>
      <c r="J47" s="252"/>
      <c r="K47" s="252"/>
      <c r="L47" s="252"/>
    </row>
    <row r="48" spans="1:12" ht="24" customHeight="1">
      <c r="A48" s="211" t="s">
        <v>134</v>
      </c>
      <c r="B48" s="176" t="s">
        <v>135</v>
      </c>
      <c r="C48" s="211" t="s">
        <v>87</v>
      </c>
      <c r="D48" s="170">
        <v>108</v>
      </c>
      <c r="E48" s="169">
        <v>111</v>
      </c>
      <c r="F48" s="170">
        <v>110</v>
      </c>
      <c r="G48" s="170">
        <v>110</v>
      </c>
      <c r="H48" s="153">
        <v>115</v>
      </c>
      <c r="I48" s="253"/>
      <c r="J48" s="253"/>
      <c r="K48" s="253"/>
      <c r="L48" s="253"/>
    </row>
    <row r="49" spans="1:12">
      <c r="A49" s="212"/>
      <c r="B49" s="215" t="s">
        <v>136</v>
      </c>
      <c r="C49" s="212" t="s">
        <v>133</v>
      </c>
      <c r="D49" s="203">
        <f>D48/D11*10000</f>
        <v>2.2307320519016991</v>
      </c>
      <c r="E49" s="203">
        <f>E48/E11*10000</f>
        <v>2.2652044193934149</v>
      </c>
      <c r="F49" s="203">
        <f>F48/F11*10000</f>
        <v>2.2481922490506498</v>
      </c>
      <c r="G49" s="203">
        <f>G48/G11*10000</f>
        <v>2.2486610245717324</v>
      </c>
      <c r="H49" s="204">
        <f>H48/H11*10000</f>
        <v>2.3219048503582802</v>
      </c>
      <c r="I49" s="163"/>
      <c r="J49" s="164"/>
      <c r="K49" s="165"/>
      <c r="L49" s="159"/>
    </row>
    <row r="50" spans="1:12" ht="22.5">
      <c r="A50" s="211">
        <v>2</v>
      </c>
      <c r="B50" s="176" t="s">
        <v>137</v>
      </c>
      <c r="C50" s="211" t="s">
        <v>14</v>
      </c>
      <c r="D50" s="203">
        <v>34.909999999999997</v>
      </c>
      <c r="E50" s="203">
        <v>35.799999999999997</v>
      </c>
      <c r="F50" s="194">
        <f>D50</f>
        <v>34.909999999999997</v>
      </c>
      <c r="G50" s="204">
        <f>52/103*100</f>
        <v>50.485436893203882</v>
      </c>
      <c r="H50" s="194">
        <v>52.4</v>
      </c>
      <c r="I50" s="163"/>
      <c r="J50" s="164"/>
      <c r="K50" s="165"/>
      <c r="L50" s="159"/>
    </row>
    <row r="51" spans="1:12" ht="43.5" customHeight="1">
      <c r="A51" s="211">
        <v>3</v>
      </c>
      <c r="B51" s="176" t="s">
        <v>138</v>
      </c>
      <c r="C51" s="211" t="s">
        <v>14</v>
      </c>
      <c r="D51" s="220">
        <v>93.44</v>
      </c>
      <c r="E51" s="203">
        <v>93.5</v>
      </c>
      <c r="F51" s="220">
        <f>856/914*100</f>
        <v>93.6542669584245</v>
      </c>
      <c r="G51" s="220">
        <f>856/914*100</f>
        <v>93.6542669584245</v>
      </c>
      <c r="H51" s="220">
        <v>97.1</v>
      </c>
      <c r="I51" s="254" t="s">
        <v>182</v>
      </c>
      <c r="J51" s="254"/>
      <c r="K51" s="254"/>
      <c r="L51" s="254"/>
    </row>
    <row r="52" spans="1:12">
      <c r="A52" s="166" t="s">
        <v>139</v>
      </c>
      <c r="B52" s="167" t="s">
        <v>140</v>
      </c>
      <c r="C52" s="172"/>
      <c r="D52" s="160"/>
      <c r="E52" s="161"/>
      <c r="F52" s="173"/>
      <c r="G52" s="174"/>
      <c r="H52" s="174"/>
      <c r="I52" s="163"/>
      <c r="J52" s="164"/>
      <c r="K52" s="165"/>
      <c r="L52" s="159"/>
    </row>
    <row r="53" spans="1:12" ht="40.5" customHeight="1">
      <c r="A53" s="211">
        <v>1</v>
      </c>
      <c r="B53" s="176" t="s">
        <v>175</v>
      </c>
      <c r="C53" s="211" t="s">
        <v>141</v>
      </c>
      <c r="D53" s="221">
        <v>94</v>
      </c>
      <c r="E53" s="222">
        <v>95</v>
      </c>
      <c r="F53" s="179">
        <v>94</v>
      </c>
      <c r="G53" s="180">
        <v>88</v>
      </c>
      <c r="H53" s="180">
        <v>96</v>
      </c>
      <c r="I53" s="251" t="s">
        <v>176</v>
      </c>
      <c r="J53" s="251"/>
      <c r="K53" s="251"/>
      <c r="L53" s="251"/>
    </row>
    <row r="54" spans="1:12" ht="22.5">
      <c r="A54" s="211"/>
      <c r="B54" s="215" t="s">
        <v>142</v>
      </c>
      <c r="C54" s="211" t="s">
        <v>141</v>
      </c>
      <c r="D54" s="221">
        <v>3</v>
      </c>
      <c r="E54" s="222">
        <v>1</v>
      </c>
      <c r="F54" s="179">
        <v>3</v>
      </c>
      <c r="G54" s="180"/>
      <c r="H54" s="180">
        <v>1</v>
      </c>
      <c r="I54" s="163"/>
      <c r="J54" s="164"/>
      <c r="K54" s="165"/>
      <c r="L54" s="159"/>
    </row>
    <row r="55" spans="1:12">
      <c r="A55" s="223"/>
      <c r="B55" s="215" t="s">
        <v>143</v>
      </c>
      <c r="C55" s="212" t="s">
        <v>14</v>
      </c>
      <c r="D55" s="224">
        <f>D53/108*100</f>
        <v>87.037037037037038</v>
      </c>
      <c r="E55" s="225">
        <f>E53/106*100</f>
        <v>89.622641509433961</v>
      </c>
      <c r="F55" s="225">
        <f>F53/106*100</f>
        <v>88.679245283018872</v>
      </c>
      <c r="G55" s="226">
        <f>G53/106*100</f>
        <v>83.018867924528308</v>
      </c>
      <c r="H55" s="226">
        <f>H53/106*100</f>
        <v>90.566037735849065</v>
      </c>
      <c r="I55" s="163"/>
      <c r="J55" s="164"/>
      <c r="K55" s="165"/>
      <c r="L55" s="159"/>
    </row>
    <row r="56" spans="1:12" ht="54.75" customHeight="1">
      <c r="A56" s="211">
        <v>2</v>
      </c>
      <c r="B56" s="176" t="s">
        <v>144</v>
      </c>
      <c r="C56" s="211" t="s">
        <v>145</v>
      </c>
      <c r="D56" s="227">
        <v>24.78</v>
      </c>
      <c r="E56" s="222">
        <v>28.9</v>
      </c>
      <c r="F56" s="255" t="s">
        <v>146</v>
      </c>
      <c r="G56" s="226">
        <v>19.86</v>
      </c>
      <c r="H56" s="226">
        <v>26.44</v>
      </c>
      <c r="I56" s="163"/>
      <c r="J56" s="164"/>
      <c r="K56" s="165"/>
      <c r="L56" s="159"/>
    </row>
    <row r="57" spans="1:12" ht="22.5">
      <c r="A57" s="211">
        <v>3</v>
      </c>
      <c r="B57" s="176" t="s">
        <v>147</v>
      </c>
      <c r="C57" s="211" t="s">
        <v>145</v>
      </c>
      <c r="D57" s="227">
        <v>32.24</v>
      </c>
      <c r="E57" s="222">
        <v>41.7</v>
      </c>
      <c r="F57" s="255"/>
      <c r="G57" s="226">
        <v>26.12</v>
      </c>
      <c r="H57" s="226">
        <v>35.25</v>
      </c>
      <c r="I57" s="163"/>
      <c r="J57" s="164"/>
      <c r="K57" s="165"/>
      <c r="L57" s="159"/>
    </row>
    <row r="58" spans="1:12" ht="22.5">
      <c r="A58" s="211">
        <v>4</v>
      </c>
      <c r="B58" s="176" t="s">
        <v>148</v>
      </c>
      <c r="C58" s="211" t="s">
        <v>149</v>
      </c>
      <c r="D58" s="222">
        <v>17.8</v>
      </c>
      <c r="E58" s="222">
        <v>16.7</v>
      </c>
      <c r="F58" s="161">
        <v>16.690000000000001</v>
      </c>
      <c r="G58" s="161">
        <v>16.690000000000001</v>
      </c>
      <c r="H58" s="161">
        <v>15.9</v>
      </c>
      <c r="I58" s="163"/>
      <c r="J58" s="164"/>
      <c r="K58" s="165"/>
      <c r="L58" s="159"/>
    </row>
    <row r="59" spans="1:12" ht="22.5">
      <c r="A59" s="211"/>
      <c r="B59" s="176" t="s">
        <v>150</v>
      </c>
      <c r="C59" s="211" t="s">
        <v>149</v>
      </c>
      <c r="D59" s="222">
        <v>24.15</v>
      </c>
      <c r="E59" s="222">
        <v>22.98</v>
      </c>
      <c r="F59" s="229">
        <v>22.9</v>
      </c>
      <c r="G59" s="229">
        <v>22.9</v>
      </c>
      <c r="H59" s="229">
        <v>21.52</v>
      </c>
      <c r="I59" s="163"/>
      <c r="J59" s="164"/>
      <c r="K59" s="165"/>
      <c r="L59" s="159"/>
    </row>
    <row r="60" spans="1:12" ht="22.5">
      <c r="A60" s="211">
        <v>5</v>
      </c>
      <c r="B60" s="176" t="s">
        <v>151</v>
      </c>
      <c r="C60" s="211" t="s">
        <v>159</v>
      </c>
      <c r="D60" s="221">
        <v>37.93</v>
      </c>
      <c r="E60" s="222">
        <v>73</v>
      </c>
      <c r="F60" s="228">
        <f>1/5746*100000</f>
        <v>17.40341106856944</v>
      </c>
      <c r="G60" s="226">
        <v>13.6</v>
      </c>
      <c r="H60" s="226">
        <v>72.5</v>
      </c>
      <c r="I60" s="163"/>
      <c r="J60" s="164"/>
      <c r="K60" s="165"/>
      <c r="L60" s="159"/>
    </row>
    <row r="61" spans="1:12" ht="28.5" customHeight="1">
      <c r="A61" s="211">
        <v>6</v>
      </c>
      <c r="B61" s="176" t="s">
        <v>152</v>
      </c>
      <c r="C61" s="211" t="s">
        <v>14</v>
      </c>
      <c r="D61" s="230">
        <v>87.77</v>
      </c>
      <c r="E61" s="222">
        <v>94.6</v>
      </c>
      <c r="F61" s="231">
        <v>54.59</v>
      </c>
      <c r="G61" s="226">
        <v>55.57</v>
      </c>
      <c r="H61" s="226">
        <v>94.8</v>
      </c>
      <c r="I61" s="251" t="s">
        <v>153</v>
      </c>
      <c r="J61" s="251"/>
      <c r="K61" s="251"/>
      <c r="L61" s="251"/>
    </row>
    <row r="62" spans="1:12">
      <c r="A62" s="211">
        <v>7</v>
      </c>
      <c r="B62" s="176" t="s">
        <v>154</v>
      </c>
      <c r="C62" s="211" t="s">
        <v>14</v>
      </c>
      <c r="D62" s="232">
        <v>67.989999999999995</v>
      </c>
      <c r="E62" s="222">
        <v>71</v>
      </c>
      <c r="F62" s="233">
        <v>69.47</v>
      </c>
      <c r="G62" s="226">
        <f t="shared" ref="G62:G70" si="0">E62</f>
        <v>71</v>
      </c>
      <c r="H62" s="226">
        <v>73.3</v>
      </c>
      <c r="I62" s="163"/>
      <c r="J62" s="164"/>
      <c r="K62" s="165"/>
      <c r="L62" s="159"/>
    </row>
    <row r="63" spans="1:12">
      <c r="A63" s="211">
        <v>8</v>
      </c>
      <c r="B63" s="176" t="s">
        <v>155</v>
      </c>
      <c r="C63" s="211" t="s">
        <v>14</v>
      </c>
      <c r="D63" s="232">
        <v>79.89</v>
      </c>
      <c r="E63" s="222">
        <v>75.2</v>
      </c>
      <c r="F63" s="231">
        <v>83.66</v>
      </c>
      <c r="G63" s="226">
        <v>84.3</v>
      </c>
      <c r="H63" s="226">
        <v>77.400000000000006</v>
      </c>
      <c r="I63" s="163"/>
      <c r="J63" s="164"/>
      <c r="K63" s="165"/>
      <c r="L63" s="159"/>
    </row>
    <row r="64" spans="1:12">
      <c r="A64" s="211">
        <v>9</v>
      </c>
      <c r="B64" s="176" t="s">
        <v>156</v>
      </c>
      <c r="C64" s="211"/>
      <c r="D64" s="221"/>
      <c r="E64" s="222"/>
      <c r="F64" s="179"/>
      <c r="G64" s="226">
        <f t="shared" si="0"/>
        <v>0</v>
      </c>
      <c r="H64" s="226"/>
      <c r="I64" s="163"/>
      <c r="J64" s="164"/>
      <c r="K64" s="165"/>
      <c r="L64" s="159"/>
    </row>
    <row r="65" spans="1:12">
      <c r="A65" s="234"/>
      <c r="B65" s="235" t="s">
        <v>157</v>
      </c>
      <c r="C65" s="234" t="s">
        <v>97</v>
      </c>
      <c r="D65" s="224">
        <v>0.21</v>
      </c>
      <c r="E65" s="222">
        <v>1.07</v>
      </c>
      <c r="F65" s="232">
        <f>89/F11*1000</f>
        <v>0.18189919105955257</v>
      </c>
      <c r="G65" s="226">
        <f>93/G11*1000</f>
        <v>0.19011406844106463</v>
      </c>
      <c r="H65" s="226">
        <v>0.26</v>
      </c>
      <c r="I65" s="163"/>
      <c r="J65" s="164"/>
      <c r="K65" s="165"/>
      <c r="L65" s="159"/>
    </row>
    <row r="66" spans="1:12" ht="60" customHeight="1">
      <c r="A66" s="212"/>
      <c r="B66" s="215" t="s">
        <v>158</v>
      </c>
      <c r="C66" s="212" t="s">
        <v>159</v>
      </c>
      <c r="D66" s="224">
        <v>43.38</v>
      </c>
      <c r="E66" s="222">
        <v>30.03</v>
      </c>
      <c r="F66" s="224">
        <f>163/F11*100000</f>
        <v>33.314121508659625</v>
      </c>
      <c r="G66" s="226">
        <f>200/G11*100000</f>
        <v>40.884745901304228</v>
      </c>
      <c r="H66" s="226">
        <v>29.15</v>
      </c>
      <c r="I66" s="251" t="s">
        <v>178</v>
      </c>
      <c r="J66" s="251"/>
      <c r="K66" s="251"/>
      <c r="L66" s="251"/>
    </row>
    <row r="67" spans="1:12">
      <c r="A67" s="212"/>
      <c r="B67" s="215" t="s">
        <v>160</v>
      </c>
      <c r="C67" s="212" t="s">
        <v>14</v>
      </c>
      <c r="D67" s="224">
        <v>0.35</v>
      </c>
      <c r="E67" s="222">
        <v>0.34</v>
      </c>
      <c r="F67" s="236">
        <f>1628/F11*100</f>
        <v>0.33273245285949615</v>
      </c>
      <c r="G67" s="226">
        <f>1610/G11*100</f>
        <v>0.32912220450549901</v>
      </c>
      <c r="H67" s="226">
        <v>0.32</v>
      </c>
      <c r="I67" s="163"/>
      <c r="J67" s="164"/>
      <c r="K67" s="165"/>
      <c r="L67" s="159"/>
    </row>
    <row r="68" spans="1:12" ht="20.25" customHeight="1">
      <c r="A68" s="211">
        <v>10</v>
      </c>
      <c r="B68" s="176" t="s">
        <v>161</v>
      </c>
      <c r="C68" s="197" t="s">
        <v>14</v>
      </c>
      <c r="D68" s="224">
        <v>83.13</v>
      </c>
      <c r="E68" s="222">
        <v>96.1</v>
      </c>
      <c r="F68" s="237">
        <f>395000/F11*100</f>
        <v>80.730539852273324</v>
      </c>
      <c r="G68" s="226">
        <f>447131/489180*100</f>
        <v>91.404186597980299</v>
      </c>
      <c r="H68" s="226">
        <v>96.5</v>
      </c>
      <c r="I68" s="257" t="s">
        <v>179</v>
      </c>
      <c r="J68" s="257"/>
      <c r="K68" s="257"/>
      <c r="L68" s="257"/>
    </row>
    <row r="69" spans="1:12" ht="30.75" customHeight="1">
      <c r="A69" s="175">
        <v>11</v>
      </c>
      <c r="B69" s="176" t="s">
        <v>162</v>
      </c>
      <c r="C69" s="177" t="s">
        <v>14</v>
      </c>
      <c r="D69" s="238">
        <v>40</v>
      </c>
      <c r="E69" s="222">
        <v>50</v>
      </c>
      <c r="F69" s="239">
        <v>40</v>
      </c>
      <c r="G69" s="180">
        <f t="shared" si="0"/>
        <v>50</v>
      </c>
      <c r="H69" s="180">
        <v>60</v>
      </c>
      <c r="I69" s="163"/>
      <c r="J69" s="164"/>
      <c r="K69" s="165"/>
      <c r="L69" s="159"/>
    </row>
    <row r="70" spans="1:12" ht="34.5" customHeight="1">
      <c r="A70" s="175">
        <v>12</v>
      </c>
      <c r="B70" s="176" t="s">
        <v>163</v>
      </c>
      <c r="C70" s="177" t="s">
        <v>14</v>
      </c>
      <c r="D70" s="238">
        <v>89.03</v>
      </c>
      <c r="E70" s="222">
        <v>90</v>
      </c>
      <c r="F70" s="240" t="s">
        <v>164</v>
      </c>
      <c r="G70" s="180">
        <f t="shared" si="0"/>
        <v>90</v>
      </c>
      <c r="H70" s="180">
        <v>92</v>
      </c>
      <c r="I70" s="163"/>
      <c r="J70" s="164"/>
      <c r="K70" s="165"/>
      <c r="L70" s="159"/>
    </row>
    <row r="71" spans="1:12" ht="49.5" customHeight="1">
      <c r="A71" s="175">
        <v>13</v>
      </c>
      <c r="B71" s="176" t="s">
        <v>165</v>
      </c>
      <c r="C71" s="177" t="s">
        <v>87</v>
      </c>
      <c r="D71" s="178">
        <v>1963</v>
      </c>
      <c r="E71" s="179">
        <v>2068</v>
      </c>
      <c r="F71" s="179">
        <v>1975</v>
      </c>
      <c r="G71" s="180">
        <v>2077</v>
      </c>
      <c r="H71" s="180">
        <v>2070</v>
      </c>
      <c r="I71" s="181"/>
      <c r="J71" s="181"/>
      <c r="K71" s="181"/>
      <c r="L71" s="181"/>
    </row>
    <row r="72" spans="1:12" ht="15.75">
      <c r="A72" s="256"/>
      <c r="B72" s="256"/>
      <c r="C72" s="256"/>
      <c r="D72" s="256"/>
      <c r="E72" s="256"/>
      <c r="F72" s="256"/>
      <c r="G72" s="256"/>
      <c r="H72" s="256"/>
      <c r="I72" s="256"/>
      <c r="J72" s="256"/>
      <c r="K72" s="256"/>
      <c r="L72" s="256"/>
    </row>
  </sheetData>
  <mergeCells count="23">
    <mergeCell ref="I53:L53"/>
    <mergeCell ref="F56:F57"/>
    <mergeCell ref="I61:L61"/>
    <mergeCell ref="I66:L66"/>
    <mergeCell ref="A72:L72"/>
    <mergeCell ref="I20:L20"/>
    <mergeCell ref="I68:L68"/>
    <mergeCell ref="K5:K6"/>
    <mergeCell ref="L5:L6"/>
    <mergeCell ref="I23:L23"/>
    <mergeCell ref="I46:L47"/>
    <mergeCell ref="I48:L48"/>
    <mergeCell ref="I51:L51"/>
    <mergeCell ref="A1:B1"/>
    <mergeCell ref="A2:L2"/>
    <mergeCell ref="A3:L3"/>
    <mergeCell ref="A5:A6"/>
    <mergeCell ref="B5:B6"/>
    <mergeCell ref="C5:C6"/>
    <mergeCell ref="D5:D6"/>
    <mergeCell ref="E5:G5"/>
    <mergeCell ref="H5:H6"/>
    <mergeCell ref="I5:J5"/>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V23"/>
  <sheetViews>
    <sheetView workbookViewId="0">
      <selection activeCell="W12" sqref="W12"/>
    </sheetView>
  </sheetViews>
  <sheetFormatPr defaultRowHeight="18.75" customHeight="1"/>
  <cols>
    <col min="1" max="1" width="3.140625" style="116" customWidth="1"/>
    <col min="2" max="2" width="15" style="102" customWidth="1"/>
    <col min="3" max="3" width="6.28515625" style="102" customWidth="1"/>
    <col min="4" max="4" width="6" style="102" customWidth="1"/>
    <col min="5" max="5" width="9.7109375" style="102" customWidth="1"/>
    <col min="6" max="6" width="8.28515625" style="102" customWidth="1"/>
    <col min="7" max="7" width="9.28515625" style="102" customWidth="1"/>
    <col min="8" max="8" width="6.5703125" style="102" customWidth="1"/>
    <col min="9" max="9" width="7.5703125" style="102" customWidth="1"/>
    <col min="10" max="10" width="6.5703125" style="102" customWidth="1"/>
    <col min="11" max="11" width="7.5703125" style="102" customWidth="1"/>
    <col min="12" max="12" width="7" style="102" customWidth="1"/>
    <col min="13" max="13" width="8.140625" style="102" customWidth="1"/>
    <col min="14" max="14" width="8.28515625" style="102" customWidth="1"/>
    <col min="15" max="15" width="8.140625" style="102" customWidth="1"/>
    <col min="16" max="16" width="4.85546875" style="102" customWidth="1"/>
    <col min="17" max="17" width="7.7109375" style="115" customWidth="1"/>
    <col min="18" max="18" width="6.7109375" style="115" customWidth="1"/>
    <col min="19" max="19" width="6.5703125" style="102" customWidth="1"/>
    <col min="20" max="20" width="7" style="102" customWidth="1"/>
    <col min="21" max="21" width="5.140625" style="116" customWidth="1"/>
    <col min="22" max="22" width="18.5703125" style="102" customWidth="1"/>
    <col min="23" max="24" width="9.140625" style="102"/>
    <col min="25" max="25" width="9.85546875" style="102" bestFit="1" customWidth="1"/>
    <col min="26" max="16384" width="9.140625" style="102"/>
  </cols>
  <sheetData>
    <row r="1" spans="1:22" ht="18.75" customHeight="1">
      <c r="A1" s="265" t="s">
        <v>68</v>
      </c>
      <c r="B1" s="265"/>
    </row>
    <row r="2" spans="1:22" ht="27.75" customHeight="1">
      <c r="A2" s="269" t="s">
        <v>166</v>
      </c>
      <c r="B2" s="269"/>
      <c r="C2" s="269"/>
      <c r="D2" s="269"/>
      <c r="E2" s="269"/>
      <c r="F2" s="269"/>
      <c r="G2" s="269"/>
      <c r="H2" s="269"/>
      <c r="I2" s="269"/>
      <c r="J2" s="269"/>
      <c r="K2" s="269"/>
      <c r="L2" s="269"/>
      <c r="M2" s="269"/>
      <c r="N2" s="269"/>
      <c r="O2" s="269"/>
      <c r="P2" s="269"/>
      <c r="Q2" s="269"/>
      <c r="R2" s="269"/>
      <c r="S2" s="269"/>
      <c r="T2" s="269"/>
      <c r="U2" s="269"/>
    </row>
    <row r="3" spans="1:22" ht="27.75" customHeight="1">
      <c r="A3" s="264" t="str">
        <f>'Ket qua TH Chi tieu 2023-2024'!A3:L3</f>
        <v>(Kèm theo báo cáo số               /BC-SYT ngày        tháng 01 năm 2024 của Sở Y tế Lai Châu)</v>
      </c>
      <c r="B3" s="264"/>
      <c r="C3" s="264"/>
      <c r="D3" s="264"/>
      <c r="E3" s="264"/>
      <c r="F3" s="264"/>
      <c r="G3" s="264"/>
      <c r="H3" s="264"/>
      <c r="I3" s="264"/>
      <c r="J3" s="264"/>
      <c r="K3" s="264"/>
      <c r="L3" s="264"/>
      <c r="M3" s="264"/>
      <c r="N3" s="264"/>
      <c r="O3" s="264"/>
      <c r="P3" s="264"/>
      <c r="Q3" s="264"/>
      <c r="R3" s="264"/>
      <c r="S3" s="264"/>
      <c r="T3" s="264"/>
      <c r="U3" s="264"/>
    </row>
    <row r="4" spans="1:22" s="101" customFormat="1" ht="25.5" customHeight="1">
      <c r="A4" s="270" t="s">
        <v>32</v>
      </c>
      <c r="B4" s="270" t="s">
        <v>33</v>
      </c>
      <c r="C4" s="258" t="s">
        <v>39</v>
      </c>
      <c r="D4" s="259"/>
      <c r="E4" s="263" t="s">
        <v>35</v>
      </c>
      <c r="F4" s="263"/>
      <c r="G4" s="263"/>
      <c r="H4" s="263"/>
      <c r="I4" s="263"/>
      <c r="J4" s="263"/>
      <c r="K4" s="263"/>
      <c r="L4" s="263"/>
      <c r="M4" s="263"/>
      <c r="N4" s="263"/>
      <c r="O4" s="263"/>
      <c r="P4" s="263"/>
      <c r="Q4" s="273" t="s">
        <v>50</v>
      </c>
      <c r="R4" s="273" t="s">
        <v>52</v>
      </c>
      <c r="S4" s="273" t="s">
        <v>62</v>
      </c>
      <c r="T4" s="273" t="s">
        <v>63</v>
      </c>
      <c r="U4" s="266" t="s">
        <v>64</v>
      </c>
    </row>
    <row r="5" spans="1:22" s="101" customFormat="1" ht="31.5" customHeight="1">
      <c r="A5" s="271"/>
      <c r="B5" s="271"/>
      <c r="C5" s="260"/>
      <c r="D5" s="261"/>
      <c r="E5" s="262" t="s">
        <v>34</v>
      </c>
      <c r="F5" s="262"/>
      <c r="G5" s="262"/>
      <c r="H5" s="262"/>
      <c r="I5" s="262" t="s">
        <v>36</v>
      </c>
      <c r="J5" s="262"/>
      <c r="K5" s="262"/>
      <c r="L5" s="262"/>
      <c r="M5" s="262" t="s">
        <v>37</v>
      </c>
      <c r="N5" s="262"/>
      <c r="O5" s="262"/>
      <c r="P5" s="262"/>
      <c r="Q5" s="274"/>
      <c r="R5" s="274"/>
      <c r="S5" s="274"/>
      <c r="T5" s="274"/>
      <c r="U5" s="267"/>
    </row>
    <row r="6" spans="1:22" s="101" customFormat="1" ht="52.5" customHeight="1">
      <c r="A6" s="272"/>
      <c r="B6" s="272"/>
      <c r="C6" s="125" t="s">
        <v>13</v>
      </c>
      <c r="D6" s="125" t="s">
        <v>16</v>
      </c>
      <c r="E6" s="132" t="s">
        <v>13</v>
      </c>
      <c r="F6" s="132" t="s">
        <v>168</v>
      </c>
      <c r="G6" s="132" t="s">
        <v>30</v>
      </c>
      <c r="H6" s="132" t="s">
        <v>169</v>
      </c>
      <c r="I6" s="132" t="s">
        <v>13</v>
      </c>
      <c r="J6" s="132" t="s">
        <v>168</v>
      </c>
      <c r="K6" s="132" t="s">
        <v>30</v>
      </c>
      <c r="L6" s="132" t="s">
        <v>169</v>
      </c>
      <c r="M6" s="132" t="s">
        <v>13</v>
      </c>
      <c r="N6" s="132" t="s">
        <v>168</v>
      </c>
      <c r="O6" s="132" t="s">
        <v>30</v>
      </c>
      <c r="P6" s="132" t="s">
        <v>169</v>
      </c>
      <c r="Q6" s="275"/>
      <c r="R6" s="275"/>
      <c r="S6" s="275"/>
      <c r="T6" s="275"/>
      <c r="U6" s="268"/>
    </row>
    <row r="7" spans="1:22" s="101" customFormat="1" ht="28.5" customHeight="1">
      <c r="A7" s="100"/>
      <c r="B7" s="100" t="s">
        <v>17</v>
      </c>
      <c r="C7" s="138">
        <f>C8+C13</f>
        <v>1590</v>
      </c>
      <c r="D7" s="138">
        <f t="shared" ref="D7:T7" si="0">D8+D13</f>
        <v>2131</v>
      </c>
      <c r="E7" s="138">
        <f t="shared" si="0"/>
        <v>1238300</v>
      </c>
      <c r="F7" s="138">
        <f t="shared" si="0"/>
        <v>1054937</v>
      </c>
      <c r="G7" s="138">
        <f t="shared" si="0"/>
        <v>1133062</v>
      </c>
      <c r="H7" s="138">
        <f t="shared" ref="H7:H17" si="1">G7/E7*100</f>
        <v>91.501413227812321</v>
      </c>
      <c r="I7" s="138">
        <f t="shared" si="0"/>
        <v>83100</v>
      </c>
      <c r="J7" s="138">
        <f t="shared" si="0"/>
        <v>74995</v>
      </c>
      <c r="K7" s="138">
        <f t="shared" si="0"/>
        <v>87164</v>
      </c>
      <c r="L7" s="138">
        <f t="shared" ref="L7:L15" si="2">K7/I7*100</f>
        <v>104.89049338146812</v>
      </c>
      <c r="M7" s="138">
        <f t="shared" si="0"/>
        <v>612000</v>
      </c>
      <c r="N7" s="138">
        <f t="shared" si="0"/>
        <v>493882</v>
      </c>
      <c r="O7" s="138">
        <f t="shared" si="0"/>
        <v>536237</v>
      </c>
      <c r="P7" s="139">
        <f t="shared" ref="P7:P15" si="3">O7/M7*100</f>
        <v>87.620424836601302</v>
      </c>
      <c r="Q7" s="138">
        <f t="shared" si="0"/>
        <v>518621</v>
      </c>
      <c r="R7" s="138">
        <f>Q7/(C7*365)%</f>
        <v>89.363487550616014</v>
      </c>
      <c r="S7" s="138">
        <f t="shared" si="0"/>
        <v>25150</v>
      </c>
      <c r="T7" s="138">
        <f t="shared" si="0"/>
        <v>27934</v>
      </c>
      <c r="U7" s="138">
        <f>S7/T7%</f>
        <v>90.033650748192173</v>
      </c>
    </row>
    <row r="8" spans="1:22" s="112" customFormat="1" ht="26.25" customHeight="1">
      <c r="A8" s="109" t="s">
        <v>11</v>
      </c>
      <c r="B8" s="110" t="s">
        <v>0</v>
      </c>
      <c r="C8" s="125">
        <f>SUM(C9:C12)</f>
        <v>670</v>
      </c>
      <c r="D8" s="125">
        <f>SUM(D9:D12)</f>
        <v>874</v>
      </c>
      <c r="E8" s="125">
        <f>SUM(E9:E12)</f>
        <v>142300</v>
      </c>
      <c r="F8" s="125">
        <f>SUM(F9:F12)</f>
        <v>134043</v>
      </c>
      <c r="G8" s="125">
        <f>SUM(G9:G12)</f>
        <v>147995</v>
      </c>
      <c r="H8" s="125">
        <f t="shared" si="1"/>
        <v>104.00210822206606</v>
      </c>
      <c r="I8" s="125">
        <f>SUM(I9:I12)</f>
        <v>32300</v>
      </c>
      <c r="J8" s="125">
        <f>SUM(J9:J12)</f>
        <v>29630</v>
      </c>
      <c r="K8" s="125">
        <f>SUM(K9:K12)</f>
        <v>35068</v>
      </c>
      <c r="L8" s="125">
        <f t="shared" si="2"/>
        <v>108.56965944272446</v>
      </c>
      <c r="M8" s="125">
        <f>SUM(M9:M12)</f>
        <v>104000</v>
      </c>
      <c r="N8" s="125">
        <f>SUM(N9:N12)</f>
        <v>103428</v>
      </c>
      <c r="O8" s="125">
        <f>SUM(O9:O12)</f>
        <v>107296</v>
      </c>
      <c r="P8" s="126">
        <f t="shared" si="3"/>
        <v>103.16923076923077</v>
      </c>
      <c r="Q8" s="125">
        <f>SUM(Q9:Q12)</f>
        <v>210715</v>
      </c>
      <c r="R8" s="125">
        <f>Q8/(C8*365)%</f>
        <v>86.164383561643831</v>
      </c>
      <c r="S8" s="125">
        <f>SUM(S9:S12)</f>
        <v>8074</v>
      </c>
      <c r="T8" s="125">
        <f>SUM(T9:T12)</f>
        <v>9388</v>
      </c>
      <c r="U8" s="125">
        <f>S8/T8%</f>
        <v>86.003408606732009</v>
      </c>
    </row>
    <row r="9" spans="1:22" ht="26.25" customHeight="1">
      <c r="A9" s="103">
        <v>1</v>
      </c>
      <c r="B9" s="104" t="s">
        <v>1</v>
      </c>
      <c r="C9" s="126">
        <v>500</v>
      </c>
      <c r="D9" s="126">
        <v>674</v>
      </c>
      <c r="E9" s="126">
        <v>120000</v>
      </c>
      <c r="F9" s="126">
        <v>112996</v>
      </c>
      <c r="G9" s="126">
        <v>123581</v>
      </c>
      <c r="H9" s="125">
        <f t="shared" si="1"/>
        <v>102.98416666666668</v>
      </c>
      <c r="I9" s="126">
        <v>28000</v>
      </c>
      <c r="J9" s="126">
        <v>25639</v>
      </c>
      <c r="K9" s="126">
        <v>30360</v>
      </c>
      <c r="L9" s="125">
        <f t="shared" si="2"/>
        <v>108.42857142857143</v>
      </c>
      <c r="M9" s="127">
        <v>88000</v>
      </c>
      <c r="N9" s="126">
        <v>87357</v>
      </c>
      <c r="O9" s="126">
        <v>90643</v>
      </c>
      <c r="P9" s="126">
        <f t="shared" si="3"/>
        <v>103.00340909090909</v>
      </c>
      <c r="Q9" s="127">
        <v>164790</v>
      </c>
      <c r="R9" s="126">
        <f>Q9/(C9*365)%</f>
        <v>90.295890410958904</v>
      </c>
      <c r="S9" s="126">
        <v>6468</v>
      </c>
      <c r="T9" s="133">
        <v>6468</v>
      </c>
      <c r="U9" s="126">
        <f>S9/T9%</f>
        <v>99.999999999999986</v>
      </c>
      <c r="V9" s="107"/>
    </row>
    <row r="10" spans="1:22" ht="26.25" customHeight="1">
      <c r="A10" s="103">
        <v>2</v>
      </c>
      <c r="B10" s="104" t="s">
        <v>67</v>
      </c>
      <c r="C10" s="126">
        <v>80</v>
      </c>
      <c r="D10" s="126">
        <v>80</v>
      </c>
      <c r="E10" s="126">
        <v>4300</v>
      </c>
      <c r="F10" s="126">
        <v>2893</v>
      </c>
      <c r="G10" s="126">
        <v>4590</v>
      </c>
      <c r="H10" s="125">
        <f t="shared" si="1"/>
        <v>106.74418604651163</v>
      </c>
      <c r="I10" s="126">
        <v>1800</v>
      </c>
      <c r="J10" s="126">
        <v>1444</v>
      </c>
      <c r="K10" s="126">
        <v>1345</v>
      </c>
      <c r="L10" s="125">
        <f t="shared" si="2"/>
        <v>74.722222222222229</v>
      </c>
      <c r="M10" s="127">
        <v>1800</v>
      </c>
      <c r="N10" s="126">
        <v>1197</v>
      </c>
      <c r="O10" s="126">
        <v>1408</v>
      </c>
      <c r="P10" s="126">
        <f t="shared" si="3"/>
        <v>78.222222222222229</v>
      </c>
      <c r="Q10" s="127">
        <v>12325</v>
      </c>
      <c r="R10" s="126">
        <f>Q10/(C10*365)%</f>
        <v>42.208904109589042</v>
      </c>
      <c r="S10" s="126">
        <v>395</v>
      </c>
      <c r="T10" s="133">
        <v>755</v>
      </c>
      <c r="U10" s="126">
        <f>S10/T10%</f>
        <v>52.317880794701985</v>
      </c>
    </row>
    <row r="11" spans="1:22" ht="26.25" customHeight="1">
      <c r="A11" s="103">
        <v>3</v>
      </c>
      <c r="B11" s="104" t="s">
        <v>3</v>
      </c>
      <c r="C11" s="126">
        <v>90</v>
      </c>
      <c r="D11" s="126">
        <v>120</v>
      </c>
      <c r="E11" s="126">
        <v>6000</v>
      </c>
      <c r="F11" s="126">
        <v>5519</v>
      </c>
      <c r="G11" s="126">
        <v>6773</v>
      </c>
      <c r="H11" s="125">
        <f t="shared" si="1"/>
        <v>112.88333333333334</v>
      </c>
      <c r="I11" s="126">
        <v>2500</v>
      </c>
      <c r="J11" s="126">
        <v>2547</v>
      </c>
      <c r="K11" s="126">
        <v>3363</v>
      </c>
      <c r="L11" s="125">
        <f t="shared" si="2"/>
        <v>134.51999999999998</v>
      </c>
      <c r="M11" s="127">
        <v>3200</v>
      </c>
      <c r="N11" s="126">
        <v>3039</v>
      </c>
      <c r="O11" s="126">
        <v>3180</v>
      </c>
      <c r="P11" s="126">
        <f t="shared" si="3"/>
        <v>99.375</v>
      </c>
      <c r="Q11" s="127">
        <v>33600</v>
      </c>
      <c r="R11" s="126">
        <f>Q11/(C11*365)%</f>
        <v>102.28310502283105</v>
      </c>
      <c r="S11" s="126">
        <v>1211</v>
      </c>
      <c r="T11" s="133">
        <v>2165</v>
      </c>
      <c r="U11" s="126">
        <f>S11/T11%</f>
        <v>55.935334872979219</v>
      </c>
    </row>
    <row r="12" spans="1:22" ht="26.25" customHeight="1">
      <c r="A12" s="103">
        <v>4</v>
      </c>
      <c r="B12" s="104" t="s">
        <v>51</v>
      </c>
      <c r="C12" s="126">
        <v>0</v>
      </c>
      <c r="D12" s="126"/>
      <c r="E12" s="126">
        <v>12000</v>
      </c>
      <c r="F12" s="126">
        <v>12635</v>
      </c>
      <c r="G12" s="126">
        <v>13051</v>
      </c>
      <c r="H12" s="125">
        <f t="shared" si="1"/>
        <v>108.75833333333334</v>
      </c>
      <c r="I12" s="126"/>
      <c r="J12" s="127"/>
      <c r="K12" s="126"/>
      <c r="L12" s="125" t="e">
        <f t="shared" si="2"/>
        <v>#DIV/0!</v>
      </c>
      <c r="M12" s="127">
        <v>11000</v>
      </c>
      <c r="N12" s="126">
        <v>11835</v>
      </c>
      <c r="O12" s="126">
        <v>12065</v>
      </c>
      <c r="P12" s="126">
        <f t="shared" si="3"/>
        <v>109.68181818181819</v>
      </c>
      <c r="Q12" s="127"/>
      <c r="R12" s="125"/>
      <c r="S12" s="126"/>
      <c r="T12" s="133"/>
      <c r="U12" s="125"/>
    </row>
    <row r="13" spans="1:22" s="112" customFormat="1" ht="28.5" customHeight="1">
      <c r="A13" s="109" t="s">
        <v>12</v>
      </c>
      <c r="B13" s="110" t="s">
        <v>4</v>
      </c>
      <c r="C13" s="125">
        <f>SUM(C14:C21)</f>
        <v>920</v>
      </c>
      <c r="D13" s="125">
        <f>SUM(D14:D21)</f>
        <v>1257</v>
      </c>
      <c r="E13" s="125">
        <f>SUM(E14:E21)</f>
        <v>1096000</v>
      </c>
      <c r="F13" s="125">
        <f>SUM(F14:F21)</f>
        <v>920894</v>
      </c>
      <c r="G13" s="125">
        <f>SUM(G14:G21)</f>
        <v>985067</v>
      </c>
      <c r="H13" s="125">
        <f t="shared" si="1"/>
        <v>89.878375912408757</v>
      </c>
      <c r="I13" s="125">
        <f>SUM(I14:I21)</f>
        <v>50800</v>
      </c>
      <c r="J13" s="125">
        <f>SUM(J14:J21)</f>
        <v>45365</v>
      </c>
      <c r="K13" s="125">
        <f>SUM(K14:K21)</f>
        <v>52096</v>
      </c>
      <c r="L13" s="125">
        <f t="shared" si="2"/>
        <v>102.55118110236221</v>
      </c>
      <c r="M13" s="125">
        <f>SUM(M14:M21)</f>
        <v>508000</v>
      </c>
      <c r="N13" s="125">
        <f>SUM(N14:N21)</f>
        <v>390454</v>
      </c>
      <c r="O13" s="125">
        <f t="shared" ref="O13:T13" si="4">SUM(O14:O21)</f>
        <v>428941</v>
      </c>
      <c r="P13" s="126">
        <f t="shared" si="3"/>
        <v>84.437204724409455</v>
      </c>
      <c r="Q13" s="125">
        <f t="shared" si="4"/>
        <v>307906</v>
      </c>
      <c r="R13" s="125">
        <f>Q13/(C13*365)%</f>
        <v>91.693269803454442</v>
      </c>
      <c r="S13" s="125">
        <f t="shared" si="4"/>
        <v>17076</v>
      </c>
      <c r="T13" s="125">
        <f t="shared" si="4"/>
        <v>18546</v>
      </c>
      <c r="U13" s="125">
        <f>S13/T13%</f>
        <v>92.073762536395989</v>
      </c>
    </row>
    <row r="14" spans="1:22" ht="27" customHeight="1">
      <c r="A14" s="103">
        <v>1</v>
      </c>
      <c r="B14" s="104" t="s">
        <v>5</v>
      </c>
      <c r="C14" s="126">
        <v>150</v>
      </c>
      <c r="D14" s="126">
        <v>204</v>
      </c>
      <c r="E14" s="126">
        <v>115000</v>
      </c>
      <c r="F14" s="126">
        <v>73795</v>
      </c>
      <c r="G14" s="126">
        <v>76892</v>
      </c>
      <c r="H14" s="125">
        <f t="shared" si="1"/>
        <v>66.86260869565217</v>
      </c>
      <c r="I14" s="126">
        <v>7500</v>
      </c>
      <c r="J14" s="126">
        <v>5059</v>
      </c>
      <c r="K14" s="126">
        <v>5719</v>
      </c>
      <c r="L14" s="125">
        <f t="shared" si="2"/>
        <v>76.25333333333333</v>
      </c>
      <c r="M14" s="127">
        <v>70000</v>
      </c>
      <c r="N14" s="126">
        <v>54967</v>
      </c>
      <c r="O14" s="126">
        <v>62656</v>
      </c>
      <c r="P14" s="126">
        <f t="shared" si="3"/>
        <v>89.508571428571429</v>
      </c>
      <c r="Q14" s="127">
        <v>39164</v>
      </c>
      <c r="R14" s="126">
        <f>Q14/(C14*365)%</f>
        <v>71.532420091324198</v>
      </c>
      <c r="S14" s="126">
        <v>983</v>
      </c>
      <c r="T14" s="133">
        <v>1234</v>
      </c>
      <c r="U14" s="126">
        <f>S14/T14%</f>
        <v>79.659643435980556</v>
      </c>
    </row>
    <row r="15" spans="1:22" ht="27" customHeight="1">
      <c r="A15" s="103">
        <v>2</v>
      </c>
      <c r="B15" s="104" t="s">
        <v>6</v>
      </c>
      <c r="C15" s="126">
        <v>140</v>
      </c>
      <c r="D15" s="126">
        <v>229</v>
      </c>
      <c r="E15" s="126">
        <v>215000</v>
      </c>
      <c r="F15" s="126">
        <v>167913</v>
      </c>
      <c r="G15" s="126">
        <v>186338</v>
      </c>
      <c r="H15" s="125">
        <f t="shared" si="1"/>
        <v>86.668837209302325</v>
      </c>
      <c r="I15" s="126">
        <v>8000</v>
      </c>
      <c r="J15" s="126">
        <v>8333</v>
      </c>
      <c r="K15" s="126">
        <v>8539</v>
      </c>
      <c r="L15" s="125">
        <f t="shared" si="2"/>
        <v>106.7375</v>
      </c>
      <c r="M15" s="127">
        <v>95000</v>
      </c>
      <c r="N15" s="126">
        <v>69938</v>
      </c>
      <c r="O15" s="126">
        <v>67766</v>
      </c>
      <c r="P15" s="126">
        <f t="shared" si="3"/>
        <v>71.332631578947371</v>
      </c>
      <c r="Q15" s="127">
        <v>50850</v>
      </c>
      <c r="R15" s="140">
        <f>Q15/(C15*365)%</f>
        <v>99.510763209393346</v>
      </c>
      <c r="S15" s="126">
        <v>1357</v>
      </c>
      <c r="T15" s="133">
        <v>1860</v>
      </c>
      <c r="U15" s="126">
        <f>S15/T15%</f>
        <v>72.956989247311824</v>
      </c>
    </row>
    <row r="16" spans="1:22" ht="27" customHeight="1">
      <c r="A16" s="103">
        <v>3</v>
      </c>
      <c r="B16" s="104" t="s">
        <v>7</v>
      </c>
      <c r="C16" s="126">
        <v>130</v>
      </c>
      <c r="D16" s="126">
        <v>180</v>
      </c>
      <c r="E16" s="126">
        <v>212000</v>
      </c>
      <c r="F16" s="126">
        <v>134036</v>
      </c>
      <c r="G16" s="126">
        <v>163417</v>
      </c>
      <c r="H16" s="125">
        <f t="shared" si="1"/>
        <v>77.083490566037739</v>
      </c>
      <c r="I16" s="126">
        <v>7500</v>
      </c>
      <c r="J16" s="126">
        <v>5935</v>
      </c>
      <c r="K16" s="126">
        <v>6696</v>
      </c>
      <c r="L16" s="125">
        <f t="shared" ref="L16:L21" si="5">K16/I16*100</f>
        <v>89.28</v>
      </c>
      <c r="M16" s="127">
        <v>80000</v>
      </c>
      <c r="N16" s="126">
        <v>40932</v>
      </c>
      <c r="O16" s="126">
        <v>42037</v>
      </c>
      <c r="P16" s="126">
        <f t="shared" ref="P16:P21" si="6">O16/M16*100</f>
        <v>52.546250000000008</v>
      </c>
      <c r="Q16" s="127">
        <v>40176</v>
      </c>
      <c r="R16" s="126">
        <f t="shared" ref="R16:R21" si="7">Q16/(C16*365)%</f>
        <v>84.670179135932557</v>
      </c>
      <c r="S16" s="126">
        <v>1790</v>
      </c>
      <c r="T16" s="133">
        <v>2082</v>
      </c>
      <c r="U16" s="126">
        <f t="shared" ref="U16:U21" si="8">S16/T16%</f>
        <v>85.97502401536984</v>
      </c>
    </row>
    <row r="17" spans="1:22" ht="27" customHeight="1">
      <c r="A17" s="103">
        <v>4</v>
      </c>
      <c r="B17" s="104" t="s">
        <v>8</v>
      </c>
      <c r="C17" s="126">
        <v>110</v>
      </c>
      <c r="D17" s="126">
        <v>125</v>
      </c>
      <c r="E17" s="126">
        <v>147000</v>
      </c>
      <c r="F17" s="126">
        <v>144684</v>
      </c>
      <c r="G17" s="126">
        <v>149150</v>
      </c>
      <c r="H17" s="125">
        <f t="shared" si="1"/>
        <v>101.4625850340136</v>
      </c>
      <c r="I17" s="126">
        <v>6400</v>
      </c>
      <c r="J17" s="126">
        <v>6386</v>
      </c>
      <c r="K17" s="126">
        <v>7020</v>
      </c>
      <c r="L17" s="125">
        <f t="shared" si="5"/>
        <v>109.6875</v>
      </c>
      <c r="M17" s="127">
        <v>66000</v>
      </c>
      <c r="N17" s="126">
        <v>60759</v>
      </c>
      <c r="O17" s="126">
        <v>65500</v>
      </c>
      <c r="P17" s="126">
        <f t="shared" si="6"/>
        <v>99.242424242424249</v>
      </c>
      <c r="Q17" s="127">
        <v>45054</v>
      </c>
      <c r="R17" s="126">
        <f t="shared" si="7"/>
        <v>112.21419676214197</v>
      </c>
      <c r="S17" s="126">
        <v>2618</v>
      </c>
      <c r="T17" s="133">
        <v>2618</v>
      </c>
      <c r="U17" s="126">
        <f t="shared" si="8"/>
        <v>100</v>
      </c>
      <c r="V17" s="114"/>
    </row>
    <row r="18" spans="1:22" ht="27" customHeight="1">
      <c r="A18" s="103">
        <v>5</v>
      </c>
      <c r="B18" s="104" t="s">
        <v>9</v>
      </c>
      <c r="C18" s="126">
        <v>190</v>
      </c>
      <c r="D18" s="126">
        <v>289</v>
      </c>
      <c r="E18" s="128">
        <v>175000</v>
      </c>
      <c r="F18" s="126">
        <v>175362</v>
      </c>
      <c r="G18" s="126">
        <v>181120</v>
      </c>
      <c r="H18" s="136">
        <f>G18/E18*100</f>
        <v>103.49714285714286</v>
      </c>
      <c r="I18" s="126">
        <v>11000</v>
      </c>
      <c r="J18" s="126">
        <v>11488</v>
      </c>
      <c r="K18" s="126">
        <v>15133</v>
      </c>
      <c r="L18" s="125">
        <f t="shared" si="5"/>
        <v>137.57272727272726</v>
      </c>
      <c r="M18" s="127">
        <v>85000</v>
      </c>
      <c r="N18" s="126">
        <v>74495</v>
      </c>
      <c r="O18" s="126">
        <v>95360</v>
      </c>
      <c r="P18" s="126">
        <f t="shared" si="6"/>
        <v>112.18823529411766</v>
      </c>
      <c r="Q18" s="127">
        <v>83247</v>
      </c>
      <c r="R18" s="126">
        <f t="shared" si="7"/>
        <v>120.03893294881038</v>
      </c>
      <c r="S18" s="126">
        <v>5204</v>
      </c>
      <c r="T18" s="133">
        <v>5204</v>
      </c>
      <c r="U18" s="126">
        <f t="shared" si="8"/>
        <v>100</v>
      </c>
    </row>
    <row r="19" spans="1:22" ht="27" customHeight="1">
      <c r="A19" s="103">
        <v>6</v>
      </c>
      <c r="B19" s="104" t="s">
        <v>10</v>
      </c>
      <c r="C19" s="126">
        <v>120</v>
      </c>
      <c r="D19" s="126">
        <v>120</v>
      </c>
      <c r="E19" s="126">
        <v>130000</v>
      </c>
      <c r="F19" s="126">
        <v>123048</v>
      </c>
      <c r="G19" s="126">
        <v>130009</v>
      </c>
      <c r="H19" s="125">
        <f>G19/E19*100</f>
        <v>100.00692307692307</v>
      </c>
      <c r="I19" s="126">
        <v>6400</v>
      </c>
      <c r="J19" s="126">
        <v>6110</v>
      </c>
      <c r="K19" s="126">
        <v>6400</v>
      </c>
      <c r="L19" s="125">
        <f t="shared" si="5"/>
        <v>100</v>
      </c>
      <c r="M19" s="127">
        <v>60000</v>
      </c>
      <c r="N19" s="126">
        <v>44385</v>
      </c>
      <c r="O19" s="126">
        <v>45711</v>
      </c>
      <c r="P19" s="126">
        <f t="shared" si="6"/>
        <v>76.185000000000002</v>
      </c>
      <c r="Q19" s="127">
        <v>30892</v>
      </c>
      <c r="R19" s="126">
        <f t="shared" si="7"/>
        <v>70.529680365296798</v>
      </c>
      <c r="S19" s="126">
        <v>3401</v>
      </c>
      <c r="T19" s="133">
        <v>3401</v>
      </c>
      <c r="U19" s="126">
        <f t="shared" si="8"/>
        <v>100</v>
      </c>
    </row>
    <row r="20" spans="1:22" ht="27" customHeight="1">
      <c r="A20" s="103">
        <v>7</v>
      </c>
      <c r="B20" s="104" t="s">
        <v>65</v>
      </c>
      <c r="C20" s="129">
        <v>30</v>
      </c>
      <c r="D20" s="126">
        <v>30</v>
      </c>
      <c r="E20" s="126">
        <v>46000</v>
      </c>
      <c r="F20" s="126">
        <v>46608</v>
      </c>
      <c r="G20" s="126">
        <v>46335</v>
      </c>
      <c r="H20" s="125">
        <f>G20/E20*100</f>
        <v>100.72826086956522</v>
      </c>
      <c r="I20" s="130">
        <v>1200</v>
      </c>
      <c r="J20" s="126">
        <v>488</v>
      </c>
      <c r="K20" s="126">
        <v>295</v>
      </c>
      <c r="L20" s="125">
        <f t="shared" si="5"/>
        <v>24.583333333333332</v>
      </c>
      <c r="M20" s="131">
        <v>17000</v>
      </c>
      <c r="N20" s="126">
        <v>16209</v>
      </c>
      <c r="O20" s="126">
        <v>18120</v>
      </c>
      <c r="P20" s="126">
        <f t="shared" si="6"/>
        <v>106.58823529411765</v>
      </c>
      <c r="Q20" s="127">
        <v>2040</v>
      </c>
      <c r="R20" s="126">
        <f t="shared" si="7"/>
        <v>18.63013698630137</v>
      </c>
      <c r="S20" s="126">
        <v>1337</v>
      </c>
      <c r="T20" s="133">
        <v>1469</v>
      </c>
      <c r="U20" s="126">
        <f t="shared" si="8"/>
        <v>91.014295439074203</v>
      </c>
      <c r="V20" s="114"/>
    </row>
    <row r="21" spans="1:22" ht="27" customHeight="1">
      <c r="A21" s="103">
        <v>8</v>
      </c>
      <c r="B21" s="104" t="s">
        <v>15</v>
      </c>
      <c r="C21" s="129">
        <v>50</v>
      </c>
      <c r="D21" s="129">
        <v>80</v>
      </c>
      <c r="E21" s="129">
        <v>56000</v>
      </c>
      <c r="F21" s="126">
        <v>55448</v>
      </c>
      <c r="G21" s="126">
        <v>51806</v>
      </c>
      <c r="H21" s="136">
        <f>G21/E21*100</f>
        <v>92.510714285714286</v>
      </c>
      <c r="I21" s="129">
        <v>2800</v>
      </c>
      <c r="J21" s="126">
        <v>1566</v>
      </c>
      <c r="K21" s="126">
        <v>2294</v>
      </c>
      <c r="L21" s="136">
        <f t="shared" si="5"/>
        <v>81.928571428571431</v>
      </c>
      <c r="M21" s="127">
        <v>35000</v>
      </c>
      <c r="N21" s="126">
        <v>28769</v>
      </c>
      <c r="O21" s="126">
        <v>31791</v>
      </c>
      <c r="P21" s="137">
        <f t="shared" si="6"/>
        <v>90.831428571428575</v>
      </c>
      <c r="Q21" s="133">
        <v>16483</v>
      </c>
      <c r="R21" s="137">
        <f t="shared" si="7"/>
        <v>90.317808219178076</v>
      </c>
      <c r="S21" s="126">
        <v>386</v>
      </c>
      <c r="T21" s="133">
        <v>678</v>
      </c>
      <c r="U21" s="137">
        <f t="shared" si="8"/>
        <v>56.932153392330385</v>
      </c>
    </row>
    <row r="22" spans="1:22" ht="18.75" customHeight="1">
      <c r="G22" s="113"/>
      <c r="K22" s="113"/>
      <c r="O22" s="113"/>
    </row>
    <row r="23" spans="1:22" ht="18.75" customHeight="1">
      <c r="Q23" s="124"/>
    </row>
  </sheetData>
  <mergeCells count="15">
    <mergeCell ref="R4:R6"/>
    <mergeCell ref="S4:S6"/>
    <mergeCell ref="T4:T6"/>
    <mergeCell ref="E5:H5"/>
    <mergeCell ref="I5:L5"/>
    <mergeCell ref="C4:D5"/>
    <mergeCell ref="M5:P5"/>
    <mergeCell ref="E4:P4"/>
    <mergeCell ref="A3:U3"/>
    <mergeCell ref="A1:B1"/>
    <mergeCell ref="U4:U6"/>
    <mergeCell ref="A2:U2"/>
    <mergeCell ref="A4:A6"/>
    <mergeCell ref="B4:B6"/>
    <mergeCell ref="Q4:Q6"/>
  </mergeCells>
  <pageMargins left="0.2" right="0.2" top="0.2" bottom="0.2" header="0.2" footer="0.2"/>
  <pageSetup orientation="landscape" r:id="rId1"/>
  <ignoredErrors>
    <ignoredError sqref="H7:H8 H1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opLeftCell="A4" zoomScaleNormal="100" workbookViewId="0">
      <selection activeCell="A19" sqref="A19:IV19"/>
    </sheetView>
  </sheetViews>
  <sheetFormatPr defaultRowHeight="18" customHeight="1"/>
  <cols>
    <col min="1" max="1" width="5" style="102" customWidth="1"/>
    <col min="2" max="2" width="20.7109375" style="102" customWidth="1"/>
    <col min="3" max="3" width="10.85546875" style="102" customWidth="1"/>
    <col min="4" max="4" width="9.42578125" style="102" customWidth="1"/>
    <col min="5" max="5" width="8.28515625" style="102" customWidth="1"/>
    <col min="6" max="6" width="9.42578125" style="102" customWidth="1"/>
    <col min="7" max="7" width="8.7109375" style="102" customWidth="1"/>
    <col min="8" max="8" width="9.42578125" style="102" customWidth="1"/>
    <col min="9" max="9" width="8.42578125" style="102" customWidth="1"/>
    <col min="10" max="12" width="9.42578125" style="102" customWidth="1"/>
    <col min="13" max="13" width="9" style="102" customWidth="1"/>
    <col min="14" max="14" width="8.140625" style="102" customWidth="1"/>
    <col min="15" max="15" width="9.140625" style="102"/>
    <col min="16" max="16" width="11" style="102" bestFit="1" customWidth="1"/>
    <col min="17" max="16384" width="9.140625" style="102"/>
  </cols>
  <sheetData>
    <row r="1" spans="1:14" ht="18" customHeight="1">
      <c r="A1" s="276" t="s">
        <v>69</v>
      </c>
      <c r="B1" s="276"/>
    </row>
    <row r="2" spans="1:14" ht="18" customHeight="1">
      <c r="A2" s="269" t="s">
        <v>170</v>
      </c>
      <c r="B2" s="269"/>
      <c r="C2" s="269"/>
      <c r="D2" s="269"/>
      <c r="E2" s="269"/>
      <c r="F2" s="269"/>
      <c r="G2" s="269"/>
      <c r="H2" s="269"/>
      <c r="I2" s="269"/>
      <c r="J2" s="269"/>
      <c r="K2" s="269"/>
      <c r="L2" s="269"/>
      <c r="M2" s="269"/>
      <c r="N2" s="269"/>
    </row>
    <row r="3" spans="1:14" ht="18" customHeight="1">
      <c r="A3" s="264" t="str">
        <f>'Ket qua TH Chi tieu 2023-2024'!A3:L3</f>
        <v>(Kèm theo báo cáo số               /BC-SYT ngày        tháng 01 năm 2024 của Sở Y tế Lai Châu)</v>
      </c>
      <c r="B3" s="264"/>
      <c r="C3" s="264"/>
      <c r="D3" s="264"/>
      <c r="E3" s="264"/>
      <c r="F3" s="264"/>
      <c r="G3" s="264"/>
      <c r="H3" s="264"/>
      <c r="I3" s="264"/>
      <c r="J3" s="264"/>
      <c r="K3" s="264"/>
      <c r="L3" s="264"/>
      <c r="M3" s="264"/>
      <c r="N3" s="264"/>
    </row>
    <row r="4" spans="1:14" s="101" customFormat="1" ht="24.75" customHeight="1">
      <c r="A4" s="277" t="s">
        <v>32</v>
      </c>
      <c r="B4" s="277" t="s">
        <v>33</v>
      </c>
      <c r="C4" s="277" t="s">
        <v>171</v>
      </c>
      <c r="D4" s="277"/>
      <c r="E4" s="277"/>
      <c r="F4" s="277"/>
      <c r="G4" s="277"/>
      <c r="H4" s="277"/>
      <c r="I4" s="277"/>
      <c r="J4" s="277"/>
      <c r="K4" s="277"/>
      <c r="L4" s="277"/>
      <c r="M4" s="277"/>
      <c r="N4" s="277"/>
    </row>
    <row r="5" spans="1:14" s="101" customFormat="1" ht="34.5" customHeight="1">
      <c r="A5" s="277"/>
      <c r="B5" s="277"/>
      <c r="C5" s="278" t="s">
        <v>53</v>
      </c>
      <c r="D5" s="278"/>
      <c r="E5" s="278"/>
      <c r="F5" s="278"/>
      <c r="G5" s="278" t="s">
        <v>54</v>
      </c>
      <c r="H5" s="278"/>
      <c r="I5" s="278"/>
      <c r="J5" s="278"/>
      <c r="K5" s="278" t="s">
        <v>55</v>
      </c>
      <c r="L5" s="278"/>
      <c r="M5" s="278"/>
      <c r="N5" s="278"/>
    </row>
    <row r="6" spans="1:14" s="101" customFormat="1" ht="18" customHeight="1">
      <c r="A6" s="277"/>
      <c r="B6" s="277"/>
      <c r="C6" s="278" t="s">
        <v>13</v>
      </c>
      <c r="D6" s="278" t="s">
        <v>40</v>
      </c>
      <c r="E6" s="278" t="s">
        <v>30</v>
      </c>
      <c r="F6" s="278" t="s">
        <v>56</v>
      </c>
      <c r="G6" s="278" t="s">
        <v>13</v>
      </c>
      <c r="H6" s="278" t="s">
        <v>40</v>
      </c>
      <c r="I6" s="278" t="s">
        <v>30</v>
      </c>
      <c r="J6" s="278" t="s">
        <v>56</v>
      </c>
      <c r="K6" s="278" t="s">
        <v>13</v>
      </c>
      <c r="L6" s="278" t="s">
        <v>40</v>
      </c>
      <c r="M6" s="278" t="s">
        <v>30</v>
      </c>
      <c r="N6" s="278" t="s">
        <v>56</v>
      </c>
    </row>
    <row r="7" spans="1:14" s="101" customFormat="1" ht="24" customHeight="1">
      <c r="A7" s="277"/>
      <c r="B7" s="277"/>
      <c r="C7" s="278"/>
      <c r="D7" s="278"/>
      <c r="E7" s="278"/>
      <c r="F7" s="278"/>
      <c r="G7" s="278"/>
      <c r="H7" s="278"/>
      <c r="I7" s="278"/>
      <c r="J7" s="278"/>
      <c r="K7" s="278"/>
      <c r="L7" s="278"/>
      <c r="M7" s="278"/>
      <c r="N7" s="278"/>
    </row>
    <row r="8" spans="1:14" s="101" customFormat="1" ht="25.5" customHeight="1">
      <c r="A8" s="100"/>
      <c r="B8" s="100" t="s">
        <v>17</v>
      </c>
      <c r="C8" s="100">
        <f>C9+C14</f>
        <v>503400</v>
      </c>
      <c r="D8" s="100">
        <f t="shared" ref="D8:M8" si="0">D9+D14</f>
        <v>331533</v>
      </c>
      <c r="E8" s="100">
        <f t="shared" si="0"/>
        <v>465895</v>
      </c>
      <c r="F8" s="108">
        <f t="shared" ref="F8:F16" si="1">E8/C8*100</f>
        <v>92.549662296384582</v>
      </c>
      <c r="G8" s="100">
        <f t="shared" si="0"/>
        <v>48800</v>
      </c>
      <c r="H8" s="100">
        <f t="shared" si="0"/>
        <v>29458</v>
      </c>
      <c r="I8" s="100">
        <f t="shared" si="0"/>
        <v>50871</v>
      </c>
      <c r="J8" s="108">
        <f t="shared" ref="J8:J16" si="2">I8/G8*100</f>
        <v>104.2438524590164</v>
      </c>
      <c r="K8" s="100">
        <f>K9+K14</f>
        <v>301000</v>
      </c>
      <c r="L8" s="100">
        <f t="shared" si="0"/>
        <v>185705</v>
      </c>
      <c r="M8" s="100">
        <f t="shared" si="0"/>
        <v>258286</v>
      </c>
      <c r="N8" s="108">
        <f t="shared" ref="N8:N16" si="3">M8/K8*100</f>
        <v>85.809302325581399</v>
      </c>
    </row>
    <row r="9" spans="1:14" s="112" customFormat="1" ht="25.5" customHeight="1">
      <c r="A9" s="109" t="s">
        <v>11</v>
      </c>
      <c r="B9" s="110" t="s">
        <v>0</v>
      </c>
      <c r="C9" s="100">
        <f>SUM(C10:C13)</f>
        <v>63100</v>
      </c>
      <c r="D9" s="100">
        <f>SUM(D10:D13)</f>
        <v>21116</v>
      </c>
      <c r="E9" s="100">
        <f>SUM(E10:E13)</f>
        <v>67025</v>
      </c>
      <c r="F9" s="108">
        <f t="shared" si="1"/>
        <v>106.22028526148969</v>
      </c>
      <c r="G9" s="100">
        <f>SUM(G10:G13)</f>
        <v>22500</v>
      </c>
      <c r="H9" s="100">
        <f>SUM(H10:H13)</f>
        <v>12156</v>
      </c>
      <c r="I9" s="100">
        <f>SUM(I10:I13)</f>
        <v>25545</v>
      </c>
      <c r="J9" s="108">
        <f t="shared" si="2"/>
        <v>113.53333333333333</v>
      </c>
      <c r="K9" s="100">
        <f>SUM(K10:K13)</f>
        <v>36800</v>
      </c>
      <c r="L9" s="100">
        <f>SUM(L10:L13)</f>
        <v>8794</v>
      </c>
      <c r="M9" s="100">
        <f>SUM(M10:M13)</f>
        <v>40082</v>
      </c>
      <c r="N9" s="108">
        <f t="shared" si="3"/>
        <v>108.91847826086956</v>
      </c>
    </row>
    <row r="10" spans="1:14" ht="25.5" customHeight="1">
      <c r="A10" s="103">
        <v>1</v>
      </c>
      <c r="B10" s="104" t="s">
        <v>1</v>
      </c>
      <c r="C10" s="103">
        <v>55000</v>
      </c>
      <c r="D10" s="103">
        <v>16280</v>
      </c>
      <c r="E10" s="103">
        <v>60942</v>
      </c>
      <c r="F10" s="108">
        <f t="shared" si="1"/>
        <v>110.80363636363637</v>
      </c>
      <c r="G10" s="103">
        <v>20000</v>
      </c>
      <c r="H10" s="103">
        <v>10386</v>
      </c>
      <c r="I10" s="103">
        <v>23597</v>
      </c>
      <c r="J10" s="108">
        <f t="shared" si="2"/>
        <v>117.98500000000001</v>
      </c>
      <c r="K10" s="103">
        <v>33000</v>
      </c>
      <c r="L10" s="103">
        <v>5894</v>
      </c>
      <c r="M10" s="103">
        <v>36329</v>
      </c>
      <c r="N10" s="108">
        <f t="shared" si="3"/>
        <v>110.08787878787878</v>
      </c>
    </row>
    <row r="11" spans="1:14" ht="25.5" customHeight="1">
      <c r="A11" s="103">
        <v>2</v>
      </c>
      <c r="B11" s="104" t="s">
        <v>67</v>
      </c>
      <c r="C11" s="103">
        <v>3000</v>
      </c>
      <c r="D11" s="103">
        <v>1118</v>
      </c>
      <c r="E11" s="103">
        <v>1303</v>
      </c>
      <c r="F11" s="108">
        <f t="shared" si="1"/>
        <v>43.433333333333337</v>
      </c>
      <c r="G11" s="103">
        <v>1500</v>
      </c>
      <c r="H11" s="103">
        <v>751</v>
      </c>
      <c r="I11" s="103">
        <v>790</v>
      </c>
      <c r="J11" s="108">
        <f t="shared" si="2"/>
        <v>52.666666666666664</v>
      </c>
      <c r="K11" s="103">
        <v>500</v>
      </c>
      <c r="L11" s="103">
        <v>359</v>
      </c>
      <c r="M11" s="103">
        <v>532</v>
      </c>
      <c r="N11" s="108">
        <f t="shared" si="3"/>
        <v>106.4</v>
      </c>
    </row>
    <row r="12" spans="1:14" ht="25.5" customHeight="1">
      <c r="A12" s="103">
        <v>3</v>
      </c>
      <c r="B12" s="104" t="s">
        <v>3</v>
      </c>
      <c r="C12" s="103">
        <v>1500</v>
      </c>
      <c r="D12" s="103">
        <v>1125</v>
      </c>
      <c r="E12" s="103">
        <v>1180</v>
      </c>
      <c r="F12" s="108">
        <f t="shared" si="1"/>
        <v>78.666666666666657</v>
      </c>
      <c r="G12" s="103">
        <v>1000</v>
      </c>
      <c r="H12" s="103">
        <v>1019</v>
      </c>
      <c r="I12" s="103">
        <v>1158</v>
      </c>
      <c r="J12" s="108">
        <f t="shared" si="2"/>
        <v>115.8</v>
      </c>
      <c r="K12" s="103">
        <v>100</v>
      </c>
      <c r="L12" s="103">
        <v>20</v>
      </c>
      <c r="M12" s="103">
        <v>21</v>
      </c>
      <c r="N12" s="108">
        <f t="shared" si="3"/>
        <v>21</v>
      </c>
    </row>
    <row r="13" spans="1:14" ht="25.5" customHeight="1">
      <c r="A13" s="103">
        <v>4</v>
      </c>
      <c r="B13" s="104" t="s">
        <v>57</v>
      </c>
      <c r="C13" s="103">
        <v>3600</v>
      </c>
      <c r="D13" s="103">
        <v>2593</v>
      </c>
      <c r="E13" s="103">
        <v>3600</v>
      </c>
      <c r="F13" s="108">
        <f t="shared" si="1"/>
        <v>100</v>
      </c>
      <c r="G13" s="103">
        <v>0</v>
      </c>
      <c r="H13" s="103"/>
      <c r="I13" s="103"/>
      <c r="J13" s="108" t="e">
        <f t="shared" si="2"/>
        <v>#DIV/0!</v>
      </c>
      <c r="K13" s="103">
        <v>3200</v>
      </c>
      <c r="L13" s="103">
        <v>2521</v>
      </c>
      <c r="M13" s="103">
        <v>3200</v>
      </c>
      <c r="N13" s="108">
        <f t="shared" si="3"/>
        <v>100</v>
      </c>
    </row>
    <row r="14" spans="1:14" s="112" customFormat="1" ht="25.5" customHeight="1">
      <c r="A14" s="109" t="s">
        <v>12</v>
      </c>
      <c r="B14" s="110" t="s">
        <v>4</v>
      </c>
      <c r="C14" s="100">
        <f>SUM(C15:C22)</f>
        <v>440300</v>
      </c>
      <c r="D14" s="100">
        <f>SUM(D15:D22)</f>
        <v>310417</v>
      </c>
      <c r="E14" s="100">
        <f>SUM(E15:E22)</f>
        <v>398870</v>
      </c>
      <c r="F14" s="108">
        <f t="shared" si="1"/>
        <v>90.590506472859417</v>
      </c>
      <c r="G14" s="100">
        <f>SUM(G15:G22)</f>
        <v>26300</v>
      </c>
      <c r="H14" s="100">
        <f>SUM(H15:H22)</f>
        <v>17302</v>
      </c>
      <c r="I14" s="100">
        <f>SUM(I15:I22)</f>
        <v>25326</v>
      </c>
      <c r="J14" s="108">
        <f t="shared" si="2"/>
        <v>96.296577946768053</v>
      </c>
      <c r="K14" s="100">
        <f>SUM(K15:K22)</f>
        <v>264200</v>
      </c>
      <c r="L14" s="100">
        <f>SUM(L15:L22)</f>
        <v>176911</v>
      </c>
      <c r="M14" s="100">
        <f>SUM(M15:M22)</f>
        <v>218204</v>
      </c>
      <c r="N14" s="108">
        <f t="shared" si="3"/>
        <v>82.590461771385321</v>
      </c>
    </row>
    <row r="15" spans="1:14" ht="25.5" customHeight="1">
      <c r="A15" s="103">
        <v>1</v>
      </c>
      <c r="B15" s="104" t="s">
        <v>5</v>
      </c>
      <c r="C15" s="103">
        <v>60000</v>
      </c>
      <c r="D15" s="103">
        <v>36311</v>
      </c>
      <c r="E15" s="103">
        <v>37776</v>
      </c>
      <c r="F15" s="108">
        <f t="shared" si="1"/>
        <v>62.960000000000008</v>
      </c>
      <c r="G15" s="103">
        <v>4000</v>
      </c>
      <c r="H15" s="103">
        <v>2604</v>
      </c>
      <c r="I15" s="103">
        <v>3072</v>
      </c>
      <c r="J15" s="108">
        <f t="shared" si="2"/>
        <v>76.8</v>
      </c>
      <c r="K15" s="103">
        <v>55000</v>
      </c>
      <c r="L15" s="103">
        <v>33707</v>
      </c>
      <c r="M15" s="103">
        <v>34704</v>
      </c>
      <c r="N15" s="108">
        <f t="shared" si="3"/>
        <v>63.098181818181821</v>
      </c>
    </row>
    <row r="16" spans="1:14" ht="25.5" customHeight="1">
      <c r="A16" s="103">
        <v>2</v>
      </c>
      <c r="B16" s="104" t="s">
        <v>6</v>
      </c>
      <c r="C16" s="103">
        <v>75000</v>
      </c>
      <c r="D16" s="103">
        <v>48839</v>
      </c>
      <c r="E16" s="103">
        <v>48649</v>
      </c>
      <c r="F16" s="108">
        <f t="shared" si="1"/>
        <v>64.865333333333325</v>
      </c>
      <c r="G16" s="103">
        <v>5000</v>
      </c>
      <c r="H16" s="103">
        <v>3758</v>
      </c>
      <c r="I16" s="103">
        <v>4598</v>
      </c>
      <c r="J16" s="108">
        <f t="shared" si="2"/>
        <v>91.96</v>
      </c>
      <c r="K16" s="103">
        <v>68000</v>
      </c>
      <c r="L16" s="103">
        <v>43270</v>
      </c>
      <c r="M16" s="103">
        <v>41365</v>
      </c>
      <c r="N16" s="108">
        <f t="shared" si="3"/>
        <v>60.830882352941174</v>
      </c>
    </row>
    <row r="17" spans="1:16" ht="25.5" customHeight="1">
      <c r="A17" s="103">
        <v>3</v>
      </c>
      <c r="B17" s="104" t="s">
        <v>7</v>
      </c>
      <c r="C17" s="103">
        <v>90000</v>
      </c>
      <c r="D17" s="103">
        <v>83103</v>
      </c>
      <c r="E17" s="103">
        <v>93614</v>
      </c>
      <c r="F17" s="108">
        <f t="shared" ref="F17:F22" si="4">E17/C17*100</f>
        <v>104.01555555555555</v>
      </c>
      <c r="G17" s="103">
        <v>4000</v>
      </c>
      <c r="H17" s="103">
        <v>2343</v>
      </c>
      <c r="I17" s="103">
        <v>3500</v>
      </c>
      <c r="J17" s="108">
        <f t="shared" ref="J17:J22" si="5">I17/G17*100</f>
        <v>87.5</v>
      </c>
      <c r="K17" s="103">
        <v>40000</v>
      </c>
      <c r="L17" s="103">
        <v>23440</v>
      </c>
      <c r="M17" s="103">
        <v>42073</v>
      </c>
      <c r="N17" s="108">
        <f t="shared" ref="N17:N22" si="6">M17/K17*100</f>
        <v>105.1825</v>
      </c>
    </row>
    <row r="18" spans="1:16" ht="25.5" customHeight="1">
      <c r="A18" s="103">
        <v>4</v>
      </c>
      <c r="B18" s="104" t="s">
        <v>8</v>
      </c>
      <c r="C18" s="103">
        <v>80000</v>
      </c>
      <c r="D18" s="103">
        <v>76465</v>
      </c>
      <c r="E18" s="103">
        <v>80718</v>
      </c>
      <c r="F18" s="108">
        <f t="shared" si="4"/>
        <v>100.89749999999999</v>
      </c>
      <c r="G18" s="103">
        <v>3500</v>
      </c>
      <c r="H18" s="103">
        <v>2951</v>
      </c>
      <c r="I18" s="103">
        <v>3434</v>
      </c>
      <c r="J18" s="108">
        <f t="shared" si="5"/>
        <v>98.114285714285714</v>
      </c>
      <c r="K18" s="103">
        <v>40000</v>
      </c>
      <c r="L18" s="103">
        <v>31975</v>
      </c>
      <c r="M18" s="103">
        <v>35283</v>
      </c>
      <c r="N18" s="108">
        <f t="shared" si="6"/>
        <v>88.20750000000001</v>
      </c>
    </row>
    <row r="19" spans="1:16" ht="25.5" customHeight="1">
      <c r="A19" s="103">
        <v>5</v>
      </c>
      <c r="B19" s="104" t="s">
        <v>9</v>
      </c>
      <c r="C19" s="104">
        <v>55000</v>
      </c>
      <c r="D19" s="103">
        <v>23320</v>
      </c>
      <c r="E19" s="103">
        <v>28888</v>
      </c>
      <c r="F19" s="108">
        <f t="shared" si="4"/>
        <v>52.523636363636363</v>
      </c>
      <c r="G19" s="103">
        <v>4000</v>
      </c>
      <c r="H19" s="103">
        <v>3747</v>
      </c>
      <c r="I19" s="103">
        <v>5827</v>
      </c>
      <c r="J19" s="108">
        <f t="shared" si="5"/>
        <v>145.67500000000001</v>
      </c>
      <c r="K19" s="103">
        <v>20000</v>
      </c>
      <c r="L19" s="103">
        <v>17018</v>
      </c>
      <c r="M19" s="103">
        <v>20295</v>
      </c>
      <c r="N19" s="108">
        <f t="shared" si="6"/>
        <v>101.47500000000001</v>
      </c>
    </row>
    <row r="20" spans="1:16" ht="25.5" customHeight="1">
      <c r="A20" s="103">
        <v>6</v>
      </c>
      <c r="B20" s="104" t="s">
        <v>10</v>
      </c>
      <c r="C20" s="105">
        <v>50000</v>
      </c>
      <c r="D20" s="105">
        <v>20765</v>
      </c>
      <c r="E20" s="105">
        <v>83470</v>
      </c>
      <c r="F20" s="108">
        <f t="shared" si="4"/>
        <v>166.94</v>
      </c>
      <c r="G20" s="105">
        <v>3500</v>
      </c>
      <c r="H20" s="134">
        <v>894</v>
      </c>
      <c r="I20" s="134">
        <v>3728</v>
      </c>
      <c r="J20" s="108">
        <f t="shared" si="5"/>
        <v>106.51428571428572</v>
      </c>
      <c r="K20" s="105">
        <v>15000</v>
      </c>
      <c r="L20" s="105">
        <v>7619</v>
      </c>
      <c r="M20" s="105">
        <v>22631</v>
      </c>
      <c r="N20" s="108">
        <f t="shared" si="6"/>
        <v>150.87333333333333</v>
      </c>
    </row>
    <row r="21" spans="1:16" ht="25.5" customHeight="1">
      <c r="A21" s="103">
        <v>7</v>
      </c>
      <c r="B21" s="104" t="s">
        <v>66</v>
      </c>
      <c r="C21" s="103">
        <v>2300</v>
      </c>
      <c r="D21" s="103">
        <v>1416</v>
      </c>
      <c r="E21" s="103">
        <v>2333</v>
      </c>
      <c r="F21" s="108">
        <f t="shared" si="4"/>
        <v>101.43478260869566</v>
      </c>
      <c r="G21" s="106">
        <v>500</v>
      </c>
      <c r="H21" s="103">
        <v>166</v>
      </c>
      <c r="I21" s="103">
        <v>118</v>
      </c>
      <c r="J21" s="108">
        <f t="shared" si="5"/>
        <v>23.599999999999998</v>
      </c>
      <c r="K21" s="106">
        <v>1200</v>
      </c>
      <c r="L21" s="103">
        <v>577</v>
      </c>
      <c r="M21" s="103">
        <v>742</v>
      </c>
      <c r="N21" s="108">
        <f t="shared" si="6"/>
        <v>61.833333333333329</v>
      </c>
    </row>
    <row r="22" spans="1:16" ht="25.5" customHeight="1">
      <c r="A22" s="103">
        <v>8</v>
      </c>
      <c r="B22" s="104" t="s">
        <v>15</v>
      </c>
      <c r="C22" s="105">
        <v>28000</v>
      </c>
      <c r="D22" s="103">
        <v>20198</v>
      </c>
      <c r="E22" s="103">
        <v>23422</v>
      </c>
      <c r="F22" s="108">
        <f t="shared" si="4"/>
        <v>83.65</v>
      </c>
      <c r="G22" s="105">
        <v>1800</v>
      </c>
      <c r="H22" s="103">
        <v>839</v>
      </c>
      <c r="I22" s="103">
        <v>1049</v>
      </c>
      <c r="J22" s="108">
        <f t="shared" si="5"/>
        <v>58.277777777777771</v>
      </c>
      <c r="K22" s="105">
        <v>25000</v>
      </c>
      <c r="L22" s="103">
        <v>19305</v>
      </c>
      <c r="M22" s="103">
        <v>21111</v>
      </c>
      <c r="N22" s="108">
        <f t="shared" si="6"/>
        <v>84.444000000000003</v>
      </c>
      <c r="P22" s="113"/>
    </row>
    <row r="23" spans="1:16" ht="18" customHeight="1">
      <c r="C23" s="117"/>
      <c r="D23" s="118"/>
      <c r="G23" s="280"/>
      <c r="H23" s="280"/>
      <c r="I23" s="280"/>
      <c r="J23" s="280"/>
    </row>
    <row r="24" spans="1:16" ht="18" customHeight="1">
      <c r="C24" s="119"/>
      <c r="D24" s="116"/>
      <c r="E24" s="116"/>
      <c r="F24" s="116"/>
      <c r="G24" s="279"/>
      <c r="H24" s="279"/>
      <c r="I24" s="279"/>
      <c r="J24" s="279"/>
    </row>
  </sheetData>
  <mergeCells count="23">
    <mergeCell ref="F6:F7"/>
    <mergeCell ref="G6:G7"/>
    <mergeCell ref="N6:N7"/>
    <mergeCell ref="G23:J23"/>
    <mergeCell ref="C6:C7"/>
    <mergeCell ref="D6:D7"/>
    <mergeCell ref="G24:J24"/>
    <mergeCell ref="L6:L7"/>
    <mergeCell ref="M6:M7"/>
    <mergeCell ref="H6:H7"/>
    <mergeCell ref="K6:K7"/>
    <mergeCell ref="I6:I7"/>
    <mergeCell ref="J6:J7"/>
    <mergeCell ref="A1:B1"/>
    <mergeCell ref="A2:N2"/>
    <mergeCell ref="A4:A7"/>
    <mergeCell ref="B4:B7"/>
    <mergeCell ref="C5:F5"/>
    <mergeCell ref="G5:J5"/>
    <mergeCell ref="A3:N3"/>
    <mergeCell ref="C4:N4"/>
    <mergeCell ref="K5:N5"/>
    <mergeCell ref="E6:E7"/>
  </mergeCells>
  <pageMargins left="0.2" right="0.2" top="0.39" bottom="0.33" header="0.31496062992125984" footer="0.31496062992125984"/>
  <pageSetup orientation="landscape" r:id="rId1"/>
  <ignoredErrors>
    <ignoredError sqref="J8:J9 F14 F8:F9" formula="1"/>
    <ignoredError sqref="J14" evalError="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pane xSplit="14" ySplit="6" topLeftCell="O7" activePane="bottomRight" state="frozen"/>
      <selection pane="topRight" activeCell="O1" sqref="O1"/>
      <selection pane="bottomLeft" activeCell="A7" sqref="A7"/>
      <selection pane="bottomRight" activeCell="I21" sqref="I21"/>
    </sheetView>
  </sheetViews>
  <sheetFormatPr defaultRowHeight="12.75"/>
  <cols>
    <col min="1" max="1" width="4.42578125" style="102" customWidth="1"/>
    <col min="2" max="2" width="20" style="102" customWidth="1"/>
    <col min="3" max="3" width="9.28515625" style="102" customWidth="1"/>
    <col min="4" max="4" width="9.85546875" style="102" customWidth="1"/>
    <col min="5" max="7" width="9.28515625" style="102" customWidth="1"/>
    <col min="8" max="8" width="9.42578125" style="102" customWidth="1"/>
    <col min="9" max="9" width="9.85546875" style="102" customWidth="1"/>
    <col min="10" max="10" width="9.140625" style="102" customWidth="1"/>
    <col min="11" max="11" width="8.5703125" style="102" customWidth="1"/>
    <col min="12" max="12" width="9.140625" style="102" customWidth="1"/>
    <col min="13" max="13" width="8.42578125" style="102" customWidth="1"/>
    <col min="14" max="14" width="8.140625" style="102" customWidth="1"/>
    <col min="15" max="15" width="9.7109375" style="102" customWidth="1"/>
    <col min="16" max="16" width="13" style="102" customWidth="1"/>
    <col min="17" max="17" width="11.5703125" style="102" customWidth="1"/>
    <col min="18" max="16384" width="9.140625" style="102"/>
  </cols>
  <sheetData>
    <row r="1" spans="1:18" ht="21.75" customHeight="1">
      <c r="A1" s="276" t="s">
        <v>70</v>
      </c>
      <c r="B1" s="276"/>
    </row>
    <row r="2" spans="1:18" ht="19.5" customHeight="1">
      <c r="A2" s="269" t="s">
        <v>167</v>
      </c>
      <c r="B2" s="269"/>
      <c r="C2" s="269"/>
      <c r="D2" s="269"/>
      <c r="E2" s="269"/>
      <c r="F2" s="269"/>
      <c r="G2" s="269"/>
      <c r="H2" s="269"/>
      <c r="I2" s="269"/>
      <c r="J2" s="269"/>
      <c r="K2" s="269"/>
      <c r="L2" s="269"/>
      <c r="M2" s="269"/>
      <c r="N2" s="269"/>
    </row>
    <row r="3" spans="1:18" ht="19.5" customHeight="1">
      <c r="A3" s="264" t="str">
        <f>'Ket qua TH Chi tieu 2023-2024'!A3:L3</f>
        <v>(Kèm theo báo cáo số               /BC-SYT ngày        tháng 01 năm 2024 của Sở Y tế Lai Châu)</v>
      </c>
      <c r="B3" s="264"/>
      <c r="C3" s="264"/>
      <c r="D3" s="264"/>
      <c r="E3" s="264"/>
      <c r="F3" s="264"/>
      <c r="G3" s="264"/>
      <c r="H3" s="264"/>
      <c r="I3" s="264"/>
      <c r="J3" s="264"/>
      <c r="K3" s="264"/>
      <c r="L3" s="264"/>
      <c r="M3" s="264"/>
      <c r="N3" s="264"/>
    </row>
    <row r="4" spans="1:18" s="101" customFormat="1" ht="27" customHeight="1">
      <c r="A4" s="277" t="s">
        <v>32</v>
      </c>
      <c r="B4" s="277" t="s">
        <v>33</v>
      </c>
      <c r="C4" s="277" t="s">
        <v>58</v>
      </c>
      <c r="D4" s="277"/>
      <c r="E4" s="277"/>
      <c r="F4" s="277"/>
      <c r="G4" s="277"/>
      <c r="H4" s="277"/>
      <c r="I4" s="277"/>
      <c r="J4" s="277"/>
      <c r="K4" s="277"/>
      <c r="L4" s="277"/>
      <c r="M4" s="277"/>
      <c r="N4" s="277"/>
    </row>
    <row r="5" spans="1:18" s="101" customFormat="1" ht="27.75" customHeight="1">
      <c r="A5" s="277"/>
      <c r="B5" s="277"/>
      <c r="C5" s="278" t="s">
        <v>59</v>
      </c>
      <c r="D5" s="278"/>
      <c r="E5" s="278"/>
      <c r="F5" s="278"/>
      <c r="G5" s="278" t="s">
        <v>60</v>
      </c>
      <c r="H5" s="278"/>
      <c r="I5" s="278"/>
      <c r="J5" s="278"/>
      <c r="K5" s="278" t="s">
        <v>61</v>
      </c>
      <c r="L5" s="278"/>
      <c r="M5" s="278"/>
      <c r="N5" s="278"/>
    </row>
    <row r="6" spans="1:18" s="101" customFormat="1" ht="2.25" customHeight="1">
      <c r="A6" s="277"/>
      <c r="B6" s="277"/>
      <c r="C6" s="278" t="s">
        <v>13</v>
      </c>
      <c r="D6" s="278" t="s">
        <v>40</v>
      </c>
      <c r="E6" s="278" t="s">
        <v>30</v>
      </c>
      <c r="F6" s="278" t="s">
        <v>56</v>
      </c>
      <c r="G6" s="278" t="s">
        <v>13</v>
      </c>
      <c r="H6" s="278" t="s">
        <v>40</v>
      </c>
      <c r="I6" s="278" t="s">
        <v>30</v>
      </c>
      <c r="J6" s="278" t="s">
        <v>56</v>
      </c>
      <c r="K6" s="278" t="s">
        <v>13</v>
      </c>
      <c r="L6" s="278" t="s">
        <v>40</v>
      </c>
      <c r="M6" s="278" t="s">
        <v>30</v>
      </c>
      <c r="N6" s="278" t="s">
        <v>56</v>
      </c>
    </row>
    <row r="7" spans="1:18" s="101" customFormat="1" ht="32.25" customHeight="1">
      <c r="A7" s="277"/>
      <c r="B7" s="277"/>
      <c r="C7" s="278"/>
      <c r="D7" s="278"/>
      <c r="E7" s="278"/>
      <c r="F7" s="278"/>
      <c r="G7" s="278"/>
      <c r="H7" s="278"/>
      <c r="I7" s="278"/>
      <c r="J7" s="278"/>
      <c r="K7" s="278"/>
      <c r="L7" s="278"/>
      <c r="M7" s="278"/>
      <c r="N7" s="278"/>
    </row>
    <row r="8" spans="1:18" s="101" customFormat="1" ht="27" customHeight="1">
      <c r="A8" s="100"/>
      <c r="B8" s="100" t="s">
        <v>17</v>
      </c>
      <c r="C8" s="100">
        <f>C9+C14</f>
        <v>114650</v>
      </c>
      <c r="D8" s="100">
        <f t="shared" ref="D8:M8" si="0">D9+D14</f>
        <v>106142</v>
      </c>
      <c r="E8" s="100">
        <f t="shared" si="0"/>
        <v>109278</v>
      </c>
      <c r="F8" s="108">
        <f t="shared" ref="F8:F16" si="1">E8/C8*100</f>
        <v>95.314435237679902</v>
      </c>
      <c r="G8" s="100">
        <f t="shared" si="0"/>
        <v>16370</v>
      </c>
      <c r="H8" s="100">
        <f t="shared" si="0"/>
        <v>16475</v>
      </c>
      <c r="I8" s="100">
        <f t="shared" si="0"/>
        <v>18552</v>
      </c>
      <c r="J8" s="100">
        <f>I8/G8%</f>
        <v>113.3292608430055</v>
      </c>
      <c r="K8" s="100">
        <f>K9+K14</f>
        <v>77660</v>
      </c>
      <c r="L8" s="100">
        <f>L9+L14</f>
        <v>66683</v>
      </c>
      <c r="M8" s="100">
        <f t="shared" si="0"/>
        <v>65900</v>
      </c>
      <c r="N8" s="108">
        <f t="shared" ref="N8:N16" si="2">M8/K8*100</f>
        <v>84.857069276332737</v>
      </c>
      <c r="O8" s="120"/>
      <c r="P8" s="120"/>
      <c r="Q8" s="120"/>
      <c r="R8" s="120"/>
    </row>
    <row r="9" spans="1:18" s="112" customFormat="1" ht="27" customHeight="1">
      <c r="A9" s="109" t="s">
        <v>11</v>
      </c>
      <c r="B9" s="110" t="s">
        <v>0</v>
      </c>
      <c r="C9" s="100">
        <f>SUM(C10:C13)</f>
        <v>12050</v>
      </c>
      <c r="D9" s="100">
        <f>SUM(D10:D12)</f>
        <v>13735</v>
      </c>
      <c r="E9" s="100">
        <f>SUM(E10:E13)</f>
        <v>14025</v>
      </c>
      <c r="F9" s="108">
        <f t="shared" si="1"/>
        <v>116.39004149377594</v>
      </c>
      <c r="G9" s="100">
        <f t="shared" ref="G9:M9" si="3">SUM(G10:G13)</f>
        <v>4770</v>
      </c>
      <c r="H9" s="100">
        <f t="shared" si="3"/>
        <v>5360</v>
      </c>
      <c r="I9" s="100">
        <f t="shared" si="3"/>
        <v>6075</v>
      </c>
      <c r="J9" s="100">
        <f>I9/G9%</f>
        <v>127.35849056603773</v>
      </c>
      <c r="K9" s="100">
        <f t="shared" si="3"/>
        <v>6860</v>
      </c>
      <c r="L9" s="100">
        <f t="shared" si="3"/>
        <v>8664</v>
      </c>
      <c r="M9" s="100">
        <f t="shared" si="3"/>
        <v>7624</v>
      </c>
      <c r="N9" s="108">
        <f t="shared" si="2"/>
        <v>111.13702623906705</v>
      </c>
      <c r="P9" s="121"/>
    </row>
    <row r="10" spans="1:18" ht="27" customHeight="1">
      <c r="A10" s="103">
        <v>1</v>
      </c>
      <c r="B10" s="104" t="s">
        <v>1</v>
      </c>
      <c r="C10" s="103">
        <v>11000</v>
      </c>
      <c r="D10" s="135">
        <v>13482</v>
      </c>
      <c r="E10" s="103">
        <v>13328</v>
      </c>
      <c r="F10" s="108">
        <f t="shared" si="1"/>
        <v>121.16363636363636</v>
      </c>
      <c r="G10" s="103">
        <v>4500</v>
      </c>
      <c r="H10" s="103">
        <v>5190</v>
      </c>
      <c r="I10" s="103">
        <v>5886</v>
      </c>
      <c r="J10" s="111">
        <f t="shared" ref="J10:J16" si="4">I10/G10*100</f>
        <v>130.80000000000001</v>
      </c>
      <c r="K10" s="103">
        <v>6300</v>
      </c>
      <c r="L10" s="103">
        <v>8292</v>
      </c>
      <c r="M10" s="103">
        <v>7142</v>
      </c>
      <c r="N10" s="111">
        <f t="shared" si="2"/>
        <v>113.36507936507935</v>
      </c>
      <c r="O10" s="122"/>
      <c r="P10" s="122"/>
    </row>
    <row r="11" spans="1:18" ht="27" customHeight="1">
      <c r="A11" s="103">
        <v>2</v>
      </c>
      <c r="B11" s="104" t="s">
        <v>67</v>
      </c>
      <c r="C11" s="103">
        <v>600</v>
      </c>
      <c r="D11" s="103">
        <v>228</v>
      </c>
      <c r="E11" s="103">
        <v>220</v>
      </c>
      <c r="F11" s="108">
        <f t="shared" si="1"/>
        <v>36.666666666666664</v>
      </c>
      <c r="G11" s="103">
        <v>250</v>
      </c>
      <c r="H11" s="103">
        <v>151</v>
      </c>
      <c r="I11" s="103">
        <v>166</v>
      </c>
      <c r="J11" s="111">
        <f>I11/G11*100</f>
        <v>66.400000000000006</v>
      </c>
      <c r="K11" s="103">
        <v>250</v>
      </c>
      <c r="L11" s="103">
        <v>75</v>
      </c>
      <c r="M11" s="103">
        <v>56</v>
      </c>
      <c r="N11" s="111">
        <f t="shared" si="2"/>
        <v>22.400000000000002</v>
      </c>
    </row>
    <row r="12" spans="1:18" ht="27" customHeight="1">
      <c r="A12" s="103">
        <v>3</v>
      </c>
      <c r="B12" s="104" t="s">
        <v>3</v>
      </c>
      <c r="C12" s="103">
        <v>50</v>
      </c>
      <c r="D12" s="103">
        <v>25</v>
      </c>
      <c r="E12" s="103">
        <v>42</v>
      </c>
      <c r="F12" s="108">
        <f t="shared" si="1"/>
        <v>84</v>
      </c>
      <c r="G12" s="103">
        <v>20</v>
      </c>
      <c r="H12" s="103">
        <v>19</v>
      </c>
      <c r="I12" s="103">
        <v>23</v>
      </c>
      <c r="J12" s="111">
        <f t="shared" si="4"/>
        <v>114.99999999999999</v>
      </c>
      <c r="K12" s="103">
        <v>10</v>
      </c>
      <c r="L12" s="103">
        <v>5</v>
      </c>
      <c r="M12" s="103">
        <v>17</v>
      </c>
      <c r="N12" s="111">
        <f t="shared" si="2"/>
        <v>170</v>
      </c>
      <c r="O12" s="122"/>
    </row>
    <row r="13" spans="1:18" ht="27" customHeight="1">
      <c r="A13" s="103">
        <v>4</v>
      </c>
      <c r="B13" s="104" t="s">
        <v>57</v>
      </c>
      <c r="C13" s="103">
        <v>400</v>
      </c>
      <c r="D13" s="103">
        <v>308</v>
      </c>
      <c r="E13" s="103">
        <v>435</v>
      </c>
      <c r="F13" s="108">
        <f t="shared" si="1"/>
        <v>108.74999999999999</v>
      </c>
      <c r="G13" s="103"/>
      <c r="H13" s="103"/>
      <c r="I13" s="103"/>
      <c r="J13" s="111" t="e">
        <f t="shared" si="4"/>
        <v>#DIV/0!</v>
      </c>
      <c r="K13" s="103">
        <v>300</v>
      </c>
      <c r="L13" s="103">
        <v>292</v>
      </c>
      <c r="M13" s="103">
        <v>409</v>
      </c>
      <c r="N13" s="111">
        <f t="shared" si="2"/>
        <v>136.33333333333331</v>
      </c>
      <c r="O13" s="122"/>
    </row>
    <row r="14" spans="1:18" s="112" customFormat="1" ht="27" customHeight="1">
      <c r="A14" s="109" t="s">
        <v>12</v>
      </c>
      <c r="B14" s="110" t="s">
        <v>4</v>
      </c>
      <c r="C14" s="100">
        <f t="shared" ref="C14:M14" si="5">SUM(C15:C22)</f>
        <v>102600</v>
      </c>
      <c r="D14" s="100">
        <f t="shared" si="5"/>
        <v>92407</v>
      </c>
      <c r="E14" s="100">
        <f t="shared" si="5"/>
        <v>95253</v>
      </c>
      <c r="F14" s="100">
        <f t="shared" si="1"/>
        <v>92.839181286549717</v>
      </c>
      <c r="G14" s="100">
        <f t="shared" si="5"/>
        <v>11600</v>
      </c>
      <c r="H14" s="100">
        <f t="shared" si="5"/>
        <v>11115</v>
      </c>
      <c r="I14" s="100">
        <f t="shared" si="5"/>
        <v>12477</v>
      </c>
      <c r="J14" s="100">
        <f t="shared" si="4"/>
        <v>107.56034482758621</v>
      </c>
      <c r="K14" s="100">
        <f t="shared" si="5"/>
        <v>70800</v>
      </c>
      <c r="L14" s="100">
        <f t="shared" si="5"/>
        <v>58019</v>
      </c>
      <c r="M14" s="100">
        <f t="shared" si="5"/>
        <v>58276</v>
      </c>
      <c r="N14" s="108">
        <f t="shared" si="2"/>
        <v>82.31073446327683</v>
      </c>
    </row>
    <row r="15" spans="1:18" ht="27" customHeight="1">
      <c r="A15" s="103">
        <v>1</v>
      </c>
      <c r="B15" s="104" t="s">
        <v>5</v>
      </c>
      <c r="C15" s="103">
        <v>10500</v>
      </c>
      <c r="D15" s="103">
        <v>8473</v>
      </c>
      <c r="E15" s="103">
        <v>8928</v>
      </c>
      <c r="F15" s="100">
        <f t="shared" si="1"/>
        <v>85.028571428571425</v>
      </c>
      <c r="G15" s="103">
        <v>1500</v>
      </c>
      <c r="H15" s="103">
        <v>1338</v>
      </c>
      <c r="I15" s="103">
        <v>1481</v>
      </c>
      <c r="J15" s="100">
        <f t="shared" si="4"/>
        <v>98.733333333333334</v>
      </c>
      <c r="K15" s="103">
        <v>8000</v>
      </c>
      <c r="L15" s="103">
        <v>7078</v>
      </c>
      <c r="M15" s="103">
        <v>7445</v>
      </c>
      <c r="N15" s="108">
        <f t="shared" si="2"/>
        <v>93.0625</v>
      </c>
    </row>
    <row r="16" spans="1:18" ht="27" customHeight="1">
      <c r="A16" s="103">
        <v>2</v>
      </c>
      <c r="B16" s="104" t="s">
        <v>6</v>
      </c>
      <c r="C16" s="103">
        <v>18000</v>
      </c>
      <c r="D16" s="103">
        <v>15392</v>
      </c>
      <c r="E16" s="103">
        <v>14198</v>
      </c>
      <c r="F16" s="100">
        <f t="shared" si="1"/>
        <v>78.87777777777778</v>
      </c>
      <c r="G16" s="103">
        <v>2200</v>
      </c>
      <c r="H16" s="103">
        <v>1938</v>
      </c>
      <c r="I16" s="103">
        <v>1860</v>
      </c>
      <c r="J16" s="100">
        <f t="shared" si="4"/>
        <v>84.545454545454547</v>
      </c>
      <c r="K16" s="103">
        <v>15000</v>
      </c>
      <c r="L16" s="103">
        <v>12637</v>
      </c>
      <c r="M16" s="103">
        <v>11896</v>
      </c>
      <c r="N16" s="108">
        <f t="shared" si="2"/>
        <v>79.306666666666672</v>
      </c>
    </row>
    <row r="17" spans="1:16" ht="27" customHeight="1">
      <c r="A17" s="103">
        <v>3</v>
      </c>
      <c r="B17" s="104" t="s">
        <v>7</v>
      </c>
      <c r="C17" s="103">
        <v>19000</v>
      </c>
      <c r="D17" s="103">
        <v>14562</v>
      </c>
      <c r="E17" s="103">
        <v>14926</v>
      </c>
      <c r="F17" s="100">
        <f t="shared" ref="F17:F22" si="6">E17/C17*100</f>
        <v>78.557894736842101</v>
      </c>
      <c r="G17" s="103">
        <v>1900</v>
      </c>
      <c r="H17" s="103">
        <v>1700</v>
      </c>
      <c r="I17" s="103">
        <v>1829</v>
      </c>
      <c r="J17" s="100">
        <f t="shared" ref="J17:J22" si="7">I17/G17*100</f>
        <v>96.263157894736835</v>
      </c>
      <c r="K17" s="103">
        <v>11000</v>
      </c>
      <c r="L17" s="103">
        <v>8821</v>
      </c>
      <c r="M17" s="103">
        <v>8800</v>
      </c>
      <c r="N17" s="108">
        <f t="shared" ref="N17:N22" si="8">M17/K17*100</f>
        <v>80</v>
      </c>
    </row>
    <row r="18" spans="1:16" ht="27" customHeight="1">
      <c r="A18" s="103">
        <v>4</v>
      </c>
      <c r="B18" s="104" t="s">
        <v>8</v>
      </c>
      <c r="C18" s="103">
        <v>20000</v>
      </c>
      <c r="D18" s="103">
        <v>23373</v>
      </c>
      <c r="E18" s="103">
        <v>24450</v>
      </c>
      <c r="F18" s="100">
        <f t="shared" si="6"/>
        <v>122.24999999999999</v>
      </c>
      <c r="G18" s="103">
        <v>1400</v>
      </c>
      <c r="H18" s="103">
        <v>1792</v>
      </c>
      <c r="I18" s="103">
        <v>1915</v>
      </c>
      <c r="J18" s="100">
        <f t="shared" si="7"/>
        <v>136.78571428571428</v>
      </c>
      <c r="K18" s="103">
        <v>11000</v>
      </c>
      <c r="L18" s="103">
        <v>9562</v>
      </c>
      <c r="M18" s="103">
        <v>10054</v>
      </c>
      <c r="N18" s="108">
        <f t="shared" si="8"/>
        <v>91.4</v>
      </c>
    </row>
    <row r="19" spans="1:16" ht="27" customHeight="1">
      <c r="A19" s="103">
        <v>5</v>
      </c>
      <c r="B19" s="104" t="s">
        <v>9</v>
      </c>
      <c r="C19" s="104">
        <v>14000</v>
      </c>
      <c r="D19" s="103">
        <v>10461</v>
      </c>
      <c r="E19" s="103">
        <v>10730</v>
      </c>
      <c r="F19" s="108">
        <f t="shared" si="6"/>
        <v>76.642857142857139</v>
      </c>
      <c r="G19" s="103">
        <v>2200</v>
      </c>
      <c r="H19" s="103">
        <v>2409</v>
      </c>
      <c r="I19" s="103">
        <v>3011</v>
      </c>
      <c r="J19" s="100">
        <f t="shared" si="7"/>
        <v>136.86363636363637</v>
      </c>
      <c r="K19" s="103">
        <v>10000</v>
      </c>
      <c r="L19" s="103">
        <v>8052</v>
      </c>
      <c r="M19" s="103">
        <v>7758</v>
      </c>
      <c r="N19" s="108">
        <f t="shared" si="8"/>
        <v>77.58</v>
      </c>
    </row>
    <row r="20" spans="1:16" ht="27" customHeight="1">
      <c r="A20" s="103">
        <v>6</v>
      </c>
      <c r="B20" s="104" t="s">
        <v>10</v>
      </c>
      <c r="C20" s="103">
        <v>13000</v>
      </c>
      <c r="D20" s="103">
        <v>13383</v>
      </c>
      <c r="E20" s="103">
        <v>14862</v>
      </c>
      <c r="F20" s="100">
        <f t="shared" si="6"/>
        <v>114.32307692307693</v>
      </c>
      <c r="G20" s="103">
        <v>1500</v>
      </c>
      <c r="H20" s="103">
        <v>1346</v>
      </c>
      <c r="I20" s="103">
        <v>1662</v>
      </c>
      <c r="J20" s="100">
        <f t="shared" si="7"/>
        <v>110.80000000000001</v>
      </c>
      <c r="K20" s="103">
        <v>9500</v>
      </c>
      <c r="L20" s="103">
        <v>6664</v>
      </c>
      <c r="M20" s="103">
        <v>6831</v>
      </c>
      <c r="N20" s="108">
        <f t="shared" si="8"/>
        <v>71.905263157894737</v>
      </c>
    </row>
    <row r="21" spans="1:16" ht="27" customHeight="1">
      <c r="A21" s="103">
        <v>7</v>
      </c>
      <c r="B21" s="104" t="s">
        <v>66</v>
      </c>
      <c r="C21" s="103">
        <v>2100</v>
      </c>
      <c r="D21" s="103">
        <v>1671</v>
      </c>
      <c r="E21" s="103">
        <v>1833</v>
      </c>
      <c r="F21" s="100">
        <f t="shared" si="6"/>
        <v>87.285714285714292</v>
      </c>
      <c r="G21" s="106">
        <v>100</v>
      </c>
      <c r="H21" s="103">
        <v>58</v>
      </c>
      <c r="I21" s="103">
        <v>80</v>
      </c>
      <c r="J21" s="100">
        <f t="shared" si="7"/>
        <v>80</v>
      </c>
      <c r="K21" s="106">
        <v>1300</v>
      </c>
      <c r="L21" s="103">
        <v>652</v>
      </c>
      <c r="M21" s="103">
        <v>893</v>
      </c>
      <c r="N21" s="108">
        <f t="shared" si="8"/>
        <v>68.692307692307693</v>
      </c>
      <c r="O21" s="123"/>
      <c r="P21" s="123"/>
    </row>
    <row r="22" spans="1:16" ht="27" customHeight="1">
      <c r="A22" s="103">
        <v>8</v>
      </c>
      <c r="B22" s="104" t="s">
        <v>15</v>
      </c>
      <c r="C22" s="105">
        <v>6000</v>
      </c>
      <c r="D22" s="103">
        <v>5092</v>
      </c>
      <c r="E22" s="103">
        <v>5326</v>
      </c>
      <c r="F22" s="100">
        <f t="shared" si="6"/>
        <v>88.766666666666666</v>
      </c>
      <c r="G22" s="105">
        <v>800</v>
      </c>
      <c r="H22" s="103">
        <v>534</v>
      </c>
      <c r="I22" s="103">
        <v>639</v>
      </c>
      <c r="J22" s="100">
        <f t="shared" si="7"/>
        <v>79.875</v>
      </c>
      <c r="K22" s="105">
        <v>5000</v>
      </c>
      <c r="L22" s="103">
        <v>4553</v>
      </c>
      <c r="M22" s="103">
        <v>4599</v>
      </c>
      <c r="N22" s="108">
        <f t="shared" si="8"/>
        <v>91.97999999999999</v>
      </c>
    </row>
  </sheetData>
  <mergeCells count="21">
    <mergeCell ref="C6:C7"/>
    <mergeCell ref="H6:H7"/>
    <mergeCell ref="C4:N4"/>
    <mergeCell ref="K5:N5"/>
    <mergeCell ref="F6:F7"/>
    <mergeCell ref="A1:B1"/>
    <mergeCell ref="A2:N2"/>
    <mergeCell ref="A4:A7"/>
    <mergeCell ref="B4:B7"/>
    <mergeCell ref="C5:F5"/>
    <mergeCell ref="G6:G7"/>
    <mergeCell ref="K6:K7"/>
    <mergeCell ref="J6:J7"/>
    <mergeCell ref="E6:E7"/>
    <mergeCell ref="A3:N3"/>
    <mergeCell ref="L6:L7"/>
    <mergeCell ref="M6:M7"/>
    <mergeCell ref="G5:J5"/>
    <mergeCell ref="N6:N7"/>
    <mergeCell ref="D6:D7"/>
    <mergeCell ref="I6:I7"/>
  </mergeCells>
  <pageMargins left="0.2" right="0.2" top="0.32" bottom="0.41" header="0.31496062992125984" footer="0.31496062992125984"/>
  <pageSetup orientation="landscape" r:id="rId1"/>
  <ignoredErrors>
    <ignoredError sqref="J8:J9" formula="1"/>
    <ignoredError sqref="D9" formula="1" formulaRange="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41"/>
  <sheetViews>
    <sheetView workbookViewId="0">
      <pane xSplit="2" ySplit="7" topLeftCell="O8" activePane="bottomRight" state="frozen"/>
      <selection pane="topRight" activeCell="C1" sqref="C1"/>
      <selection pane="bottomLeft" activeCell="A8" sqref="A8"/>
      <selection pane="bottomRight" activeCell="Y7" sqref="Y7"/>
    </sheetView>
  </sheetViews>
  <sheetFormatPr defaultRowHeight="15"/>
  <cols>
    <col min="1" max="1" width="4.42578125" style="7" customWidth="1"/>
    <col min="2" max="2" width="19.85546875" style="7" customWidth="1"/>
    <col min="3" max="4" width="7.85546875" style="7" customWidth="1"/>
    <col min="5" max="5" width="9" style="7" customWidth="1"/>
    <col min="6" max="6" width="12.85546875" style="7" customWidth="1"/>
    <col min="7" max="7" width="11.5703125" style="7" customWidth="1"/>
    <col min="8" max="8" width="11.42578125" style="4" customWidth="1"/>
    <col min="9" max="20" width="11.5703125" style="4" customWidth="1"/>
    <col min="21" max="21" width="8.42578125" style="34" hidden="1" customWidth="1"/>
    <col min="22" max="22" width="9.5703125" style="7" bestFit="1" customWidth="1"/>
    <col min="23" max="23" width="11.5703125" style="7" customWidth="1"/>
    <col min="24" max="24" width="10.7109375" style="4" customWidth="1"/>
    <col min="25" max="36" width="11.5703125" style="4" customWidth="1"/>
    <col min="37" max="37" width="8.42578125" style="34" hidden="1" customWidth="1"/>
    <col min="38" max="38" width="10.7109375" style="7" bestFit="1" customWidth="1"/>
    <col min="39" max="39" width="11.5703125" style="7" customWidth="1"/>
    <col min="40" max="40" width="10.7109375" style="4" customWidth="1"/>
    <col min="41" max="51" width="11.5703125" style="4" customWidth="1"/>
    <col min="52" max="52" width="11.85546875" style="4" customWidth="1"/>
    <col min="53" max="53" width="8.42578125" style="34" hidden="1" customWidth="1"/>
    <col min="54" max="54" width="10.28515625" style="35" customWidth="1"/>
    <col min="55" max="56" width="9.28515625" style="36" hidden="1" customWidth="1"/>
    <col min="57" max="58" width="9.7109375" style="36" customWidth="1"/>
    <col min="59" max="16384" width="9.140625" style="4"/>
  </cols>
  <sheetData>
    <row r="1" spans="1:95" ht="15.75">
      <c r="A1" s="293" t="s">
        <v>49</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7"/>
      <c r="BE1" s="7"/>
      <c r="BF1" s="7"/>
    </row>
    <row r="2" spans="1:95" ht="33"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c r="BA2" s="294"/>
      <c r="BB2" s="294"/>
      <c r="BC2" s="294"/>
      <c r="BD2" s="7"/>
      <c r="BE2" s="7"/>
      <c r="BF2" s="7"/>
    </row>
    <row r="3" spans="1:95" s="19" customFormat="1" ht="23.25" customHeight="1">
      <c r="A3" s="295" t="s">
        <v>32</v>
      </c>
      <c r="B3" s="295" t="s">
        <v>33</v>
      </c>
      <c r="C3" s="296" t="s">
        <v>39</v>
      </c>
      <c r="D3" s="297"/>
      <c r="E3" s="298"/>
      <c r="F3" s="295" t="s">
        <v>35</v>
      </c>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2" t="s">
        <v>44</v>
      </c>
      <c r="BC3" s="281" t="s">
        <v>38</v>
      </c>
      <c r="BD3" s="282"/>
      <c r="BE3" s="292" t="s">
        <v>45</v>
      </c>
      <c r="BF3" s="292" t="s">
        <v>46</v>
      </c>
    </row>
    <row r="4" spans="1:95" s="19" customFormat="1" ht="23.25" customHeight="1">
      <c r="A4" s="295"/>
      <c r="B4" s="295"/>
      <c r="C4" s="299"/>
      <c r="D4" s="300"/>
      <c r="E4" s="301"/>
      <c r="F4" s="292" t="s">
        <v>34</v>
      </c>
      <c r="G4" s="292"/>
      <c r="H4" s="292"/>
      <c r="I4" s="292"/>
      <c r="J4" s="292"/>
      <c r="K4" s="292"/>
      <c r="L4" s="292"/>
      <c r="M4" s="292"/>
      <c r="N4" s="292"/>
      <c r="O4" s="292"/>
      <c r="P4" s="292"/>
      <c r="Q4" s="292"/>
      <c r="R4" s="292"/>
      <c r="S4" s="292"/>
      <c r="T4" s="292"/>
      <c r="U4" s="292"/>
      <c r="V4" s="292" t="s">
        <v>36</v>
      </c>
      <c r="W4" s="292"/>
      <c r="X4" s="292"/>
      <c r="Y4" s="292"/>
      <c r="Z4" s="292"/>
      <c r="AA4" s="292"/>
      <c r="AB4" s="292"/>
      <c r="AC4" s="292"/>
      <c r="AD4" s="292"/>
      <c r="AE4" s="292"/>
      <c r="AF4" s="292"/>
      <c r="AG4" s="292"/>
      <c r="AH4" s="292"/>
      <c r="AI4" s="292"/>
      <c r="AJ4" s="292"/>
      <c r="AK4" s="292"/>
      <c r="AL4" s="292" t="s">
        <v>37</v>
      </c>
      <c r="AM4" s="292"/>
      <c r="AN4" s="292"/>
      <c r="AO4" s="292"/>
      <c r="AP4" s="292"/>
      <c r="AQ4" s="292"/>
      <c r="AR4" s="292"/>
      <c r="AS4" s="292"/>
      <c r="AT4" s="292"/>
      <c r="AU4" s="292"/>
      <c r="AV4" s="292"/>
      <c r="AW4" s="292"/>
      <c r="AX4" s="292"/>
      <c r="AY4" s="292"/>
      <c r="AZ4" s="292"/>
      <c r="BA4" s="292"/>
      <c r="BB4" s="292"/>
      <c r="BC4" s="283"/>
      <c r="BD4" s="284"/>
      <c r="BE4" s="292"/>
      <c r="BF4" s="292"/>
    </row>
    <row r="5" spans="1:95" s="19" customFormat="1" ht="23.25" customHeight="1">
      <c r="A5" s="295"/>
      <c r="B5" s="295"/>
      <c r="C5" s="290" t="s">
        <v>13</v>
      </c>
      <c r="D5" s="290"/>
      <c r="E5" s="290" t="s">
        <v>16</v>
      </c>
      <c r="F5" s="285" t="s">
        <v>13</v>
      </c>
      <c r="G5" s="285" t="s">
        <v>40</v>
      </c>
      <c r="H5" s="285" t="s">
        <v>30</v>
      </c>
      <c r="I5" s="287" t="s">
        <v>31</v>
      </c>
      <c r="J5" s="288"/>
      <c r="K5" s="288"/>
      <c r="L5" s="288"/>
      <c r="M5" s="288"/>
      <c r="N5" s="288"/>
      <c r="O5" s="288"/>
      <c r="P5" s="288"/>
      <c r="Q5" s="288"/>
      <c r="R5" s="288"/>
      <c r="S5" s="288"/>
      <c r="T5" s="289"/>
      <c r="U5" s="302" t="s">
        <v>14</v>
      </c>
      <c r="V5" s="285" t="s">
        <v>13</v>
      </c>
      <c r="W5" s="285" t="s">
        <v>40</v>
      </c>
      <c r="X5" s="285" t="s">
        <v>30</v>
      </c>
      <c r="Y5" s="287" t="s">
        <v>31</v>
      </c>
      <c r="Z5" s="288"/>
      <c r="AA5" s="288"/>
      <c r="AB5" s="288"/>
      <c r="AC5" s="288"/>
      <c r="AD5" s="288"/>
      <c r="AE5" s="288"/>
      <c r="AF5" s="288"/>
      <c r="AG5" s="288"/>
      <c r="AH5" s="288"/>
      <c r="AI5" s="288"/>
      <c r="AJ5" s="289"/>
      <c r="AK5" s="302" t="s">
        <v>14</v>
      </c>
      <c r="AL5" s="285" t="s">
        <v>13</v>
      </c>
      <c r="AM5" s="285" t="s">
        <v>40</v>
      </c>
      <c r="AN5" s="285" t="s">
        <v>30</v>
      </c>
      <c r="AO5" s="287" t="s">
        <v>31</v>
      </c>
      <c r="AP5" s="288"/>
      <c r="AQ5" s="288"/>
      <c r="AR5" s="288"/>
      <c r="AS5" s="288"/>
      <c r="AT5" s="288"/>
      <c r="AU5" s="288"/>
      <c r="AV5" s="288"/>
      <c r="AW5" s="288"/>
      <c r="AX5" s="288"/>
      <c r="AY5" s="288"/>
      <c r="AZ5" s="289"/>
      <c r="BA5" s="302" t="s">
        <v>14</v>
      </c>
      <c r="BB5" s="292"/>
      <c r="BC5" s="283"/>
      <c r="BD5" s="284"/>
      <c r="BE5" s="292"/>
      <c r="BF5" s="292"/>
    </row>
    <row r="6" spans="1:95" s="19" customFormat="1" ht="23.25" customHeight="1">
      <c r="A6" s="295"/>
      <c r="B6" s="295"/>
      <c r="C6" s="291"/>
      <c r="D6" s="291"/>
      <c r="E6" s="291"/>
      <c r="F6" s="286"/>
      <c r="G6" s="286"/>
      <c r="H6" s="286"/>
      <c r="I6" s="5" t="s">
        <v>18</v>
      </c>
      <c r="J6" s="5" t="s">
        <v>19</v>
      </c>
      <c r="K6" s="5" t="s">
        <v>20</v>
      </c>
      <c r="L6" s="5" t="s">
        <v>21</v>
      </c>
      <c r="M6" s="5" t="s">
        <v>22</v>
      </c>
      <c r="N6" s="5" t="s">
        <v>23</v>
      </c>
      <c r="O6" s="5" t="s">
        <v>24</v>
      </c>
      <c r="P6" s="5" t="s">
        <v>25</v>
      </c>
      <c r="Q6" s="5" t="s">
        <v>26</v>
      </c>
      <c r="R6" s="5" t="s">
        <v>27</v>
      </c>
      <c r="S6" s="5" t="s">
        <v>28</v>
      </c>
      <c r="T6" s="5" t="s">
        <v>29</v>
      </c>
      <c r="U6" s="303"/>
      <c r="V6" s="286"/>
      <c r="W6" s="286"/>
      <c r="X6" s="286"/>
      <c r="Y6" s="5" t="s">
        <v>18</v>
      </c>
      <c r="Z6" s="5" t="s">
        <v>19</v>
      </c>
      <c r="AA6" s="5" t="s">
        <v>20</v>
      </c>
      <c r="AB6" s="5" t="s">
        <v>21</v>
      </c>
      <c r="AC6" s="5" t="s">
        <v>22</v>
      </c>
      <c r="AD6" s="5" t="s">
        <v>23</v>
      </c>
      <c r="AE6" s="5" t="s">
        <v>24</v>
      </c>
      <c r="AF6" s="5" t="s">
        <v>25</v>
      </c>
      <c r="AG6" s="5" t="s">
        <v>26</v>
      </c>
      <c r="AH6" s="5" t="s">
        <v>27</v>
      </c>
      <c r="AI6" s="5" t="s">
        <v>28</v>
      </c>
      <c r="AJ6" s="5" t="s">
        <v>29</v>
      </c>
      <c r="AK6" s="303"/>
      <c r="AL6" s="286"/>
      <c r="AM6" s="286"/>
      <c r="AN6" s="286"/>
      <c r="AO6" s="5" t="s">
        <v>18</v>
      </c>
      <c r="AP6" s="5" t="s">
        <v>19</v>
      </c>
      <c r="AQ6" s="5" t="s">
        <v>20</v>
      </c>
      <c r="AR6" s="5" t="s">
        <v>21</v>
      </c>
      <c r="AS6" s="5" t="s">
        <v>22</v>
      </c>
      <c r="AT6" s="5" t="s">
        <v>23</v>
      </c>
      <c r="AU6" s="5" t="s">
        <v>24</v>
      </c>
      <c r="AV6" s="5" t="s">
        <v>25</v>
      </c>
      <c r="AW6" s="5" t="s">
        <v>26</v>
      </c>
      <c r="AX6" s="5" t="s">
        <v>27</v>
      </c>
      <c r="AY6" s="5" t="s">
        <v>28</v>
      </c>
      <c r="AZ6" s="5" t="s">
        <v>29</v>
      </c>
      <c r="BA6" s="303"/>
      <c r="BB6" s="292"/>
      <c r="BC6" s="20" t="s">
        <v>13</v>
      </c>
      <c r="BD6" s="20" t="s">
        <v>16</v>
      </c>
      <c r="BE6" s="285"/>
      <c r="BF6" s="285"/>
    </row>
    <row r="7" spans="1:95" s="23" customFormat="1" ht="24" customHeight="1">
      <c r="A7" s="39"/>
      <c r="B7" s="39" t="s">
        <v>17</v>
      </c>
      <c r="C7" s="40">
        <f>C8+C12</f>
        <v>1250</v>
      </c>
      <c r="D7" s="40">
        <f>D8+D12</f>
        <v>1140</v>
      </c>
      <c r="E7" s="40">
        <f t="shared" ref="E7:BB7" si="0">E8+E12</f>
        <v>1626</v>
      </c>
      <c r="F7" s="40">
        <f t="shared" si="0"/>
        <v>1111200</v>
      </c>
      <c r="G7" s="40">
        <f t="shared" si="0"/>
        <v>590678</v>
      </c>
      <c r="H7" s="40">
        <f t="shared" si="0"/>
        <v>1014929</v>
      </c>
      <c r="I7" s="40">
        <f t="shared" si="0"/>
        <v>72009</v>
      </c>
      <c r="J7" s="40">
        <f t="shared" si="0"/>
        <v>71480</v>
      </c>
      <c r="K7" s="40">
        <f t="shared" si="0"/>
        <v>88087</v>
      </c>
      <c r="L7" s="40">
        <f t="shared" si="0"/>
        <v>97941</v>
      </c>
      <c r="M7" s="40">
        <f t="shared" si="0"/>
        <v>87837</v>
      </c>
      <c r="N7" s="40">
        <f t="shared" si="0"/>
        <v>88243</v>
      </c>
      <c r="O7" s="40">
        <f t="shared" si="0"/>
        <v>84472</v>
      </c>
      <c r="P7" s="40">
        <f t="shared" si="0"/>
        <v>75872</v>
      </c>
      <c r="Q7" s="40">
        <f t="shared" si="0"/>
        <v>87467</v>
      </c>
      <c r="R7" s="40">
        <f t="shared" si="0"/>
        <v>94530</v>
      </c>
      <c r="S7" s="40">
        <f t="shared" si="0"/>
        <v>84649</v>
      </c>
      <c r="T7" s="40">
        <f t="shared" si="0"/>
        <v>82342</v>
      </c>
      <c r="U7" s="40">
        <f t="shared" si="0"/>
        <v>89.157549019607842</v>
      </c>
      <c r="V7" s="40">
        <f t="shared" si="0"/>
        <v>62050</v>
      </c>
      <c r="W7" s="40">
        <f t="shared" si="0"/>
        <v>31745</v>
      </c>
      <c r="X7" s="40" t="e">
        <f t="shared" si="0"/>
        <v>#REF!</v>
      </c>
      <c r="Y7" s="40" t="e">
        <f t="shared" si="0"/>
        <v>#REF!</v>
      </c>
      <c r="Z7" s="40" t="e">
        <f t="shared" si="0"/>
        <v>#REF!</v>
      </c>
      <c r="AA7" s="40" t="e">
        <f t="shared" si="0"/>
        <v>#REF!</v>
      </c>
      <c r="AB7" s="40" t="e">
        <f t="shared" si="0"/>
        <v>#REF!</v>
      </c>
      <c r="AC7" s="40" t="e">
        <f t="shared" si="0"/>
        <v>#REF!</v>
      </c>
      <c r="AD7" s="40" t="e">
        <f t="shared" si="0"/>
        <v>#REF!</v>
      </c>
      <c r="AE7" s="40" t="e">
        <f t="shared" si="0"/>
        <v>#REF!</v>
      </c>
      <c r="AF7" s="40" t="e">
        <f t="shared" si="0"/>
        <v>#REF!</v>
      </c>
      <c r="AG7" s="40" t="e">
        <f t="shared" si="0"/>
        <v>#REF!</v>
      </c>
      <c r="AH7" s="40" t="e">
        <f t="shared" si="0"/>
        <v>#REF!</v>
      </c>
      <c r="AI7" s="40">
        <f t="shared" si="0"/>
        <v>6578</v>
      </c>
      <c r="AJ7" s="40">
        <f t="shared" si="0"/>
        <v>6169</v>
      </c>
      <c r="AK7" s="40" t="e">
        <f t="shared" si="0"/>
        <v>#REF!</v>
      </c>
      <c r="AL7" s="40">
        <f t="shared" si="0"/>
        <v>677700</v>
      </c>
      <c r="AM7" s="40">
        <f t="shared" si="0"/>
        <v>364828</v>
      </c>
      <c r="AN7" s="40">
        <f t="shared" si="0"/>
        <v>682502</v>
      </c>
      <c r="AO7" s="40">
        <f t="shared" si="0"/>
        <v>49206</v>
      </c>
      <c r="AP7" s="40">
        <f t="shared" si="0"/>
        <v>44016</v>
      </c>
      <c r="AQ7" s="40">
        <f t="shared" si="0"/>
        <v>51917</v>
      </c>
      <c r="AR7" s="40">
        <f t="shared" si="0"/>
        <v>61628</v>
      </c>
      <c r="AS7" s="40">
        <f t="shared" si="0"/>
        <v>53329</v>
      </c>
      <c r="AT7" s="40">
        <f t="shared" si="0"/>
        <v>55417</v>
      </c>
      <c r="AU7" s="40">
        <f t="shared" si="0"/>
        <v>51786</v>
      </c>
      <c r="AV7" s="40">
        <f t="shared" si="0"/>
        <v>43813</v>
      </c>
      <c r="AW7" s="40">
        <f t="shared" si="0"/>
        <v>53187</v>
      </c>
      <c r="AX7" s="40">
        <f t="shared" si="0"/>
        <v>60144</v>
      </c>
      <c r="AY7" s="40">
        <f t="shared" si="0"/>
        <v>54086</v>
      </c>
      <c r="AZ7" s="40">
        <f t="shared" si="0"/>
        <v>50340</v>
      </c>
      <c r="BA7" s="40">
        <f t="shared" si="0"/>
        <v>98.618566775244304</v>
      </c>
      <c r="BB7" s="40">
        <f t="shared" si="0"/>
        <v>526715.19999999995</v>
      </c>
      <c r="BC7" s="21">
        <f t="shared" ref="BC7:BC20" si="1">+BB7/(C7*365)%</f>
        <v>115.44442739726027</v>
      </c>
      <c r="BD7" s="22">
        <f t="shared" ref="BD7:BD20" si="2">+BB7/(E7*365)%</f>
        <v>88.748791049554328</v>
      </c>
      <c r="BE7" s="21">
        <f>BB7/(C7*365)*100</f>
        <v>115.44442739726026</v>
      </c>
      <c r="BF7" s="21">
        <f>BB7/(E7*365)*100</f>
        <v>88.748791049554328</v>
      </c>
    </row>
    <row r="8" spans="1:95" s="38" customFormat="1" ht="24" customHeight="1">
      <c r="A8" s="41" t="s">
        <v>11</v>
      </c>
      <c r="B8" s="42" t="s">
        <v>0</v>
      </c>
      <c r="C8" s="43">
        <f>SUM(C9:C11)</f>
        <v>500</v>
      </c>
      <c r="D8" s="43">
        <f>SUM(D9:D11)</f>
        <v>460</v>
      </c>
      <c r="E8" s="43">
        <f t="shared" ref="E8:BB8" si="3">SUM(E9:E11)</f>
        <v>679</v>
      </c>
      <c r="F8" s="43">
        <f t="shared" si="3"/>
        <v>91200</v>
      </c>
      <c r="G8" s="43">
        <f t="shared" si="3"/>
        <v>41976</v>
      </c>
      <c r="H8" s="43">
        <f t="shared" si="3"/>
        <v>105522</v>
      </c>
      <c r="I8" s="43">
        <f t="shared" si="3"/>
        <v>6053</v>
      </c>
      <c r="J8" s="43">
        <f t="shared" si="3"/>
        <v>6701</v>
      </c>
      <c r="K8" s="43">
        <f t="shared" si="3"/>
        <v>7982</v>
      </c>
      <c r="L8" s="43">
        <f t="shared" si="3"/>
        <v>9086</v>
      </c>
      <c r="M8" s="43">
        <f t="shared" si="3"/>
        <v>9133</v>
      </c>
      <c r="N8" s="43">
        <f t="shared" si="3"/>
        <v>9277</v>
      </c>
      <c r="O8" s="43">
        <f t="shared" si="3"/>
        <v>8962</v>
      </c>
      <c r="P8" s="43">
        <f t="shared" si="3"/>
        <v>10345</v>
      </c>
      <c r="Q8" s="43">
        <f t="shared" si="3"/>
        <v>9915</v>
      </c>
      <c r="R8" s="43">
        <f t="shared" si="3"/>
        <v>9356</v>
      </c>
      <c r="S8" s="43">
        <f t="shared" si="3"/>
        <v>9356</v>
      </c>
      <c r="T8" s="43">
        <f t="shared" si="3"/>
        <v>9356</v>
      </c>
      <c r="U8" s="43">
        <f t="shared" si="3"/>
        <v>0</v>
      </c>
      <c r="V8" s="43">
        <f t="shared" si="3"/>
        <v>22200</v>
      </c>
      <c r="W8" s="43">
        <f t="shared" si="3"/>
        <v>4086</v>
      </c>
      <c r="X8" s="43">
        <f t="shared" si="3"/>
        <v>28326</v>
      </c>
      <c r="Y8" s="43">
        <f t="shared" si="3"/>
        <v>1614</v>
      </c>
      <c r="Z8" s="43">
        <f t="shared" si="3"/>
        <v>1812</v>
      </c>
      <c r="AA8" s="43">
        <f t="shared" si="3"/>
        <v>2149</v>
      </c>
      <c r="AB8" s="43">
        <f t="shared" si="3"/>
        <v>2181</v>
      </c>
      <c r="AC8" s="43">
        <f t="shared" si="3"/>
        <v>2258</v>
      </c>
      <c r="AD8" s="43">
        <f t="shared" si="3"/>
        <v>2345</v>
      </c>
      <c r="AE8" s="43">
        <f t="shared" si="3"/>
        <v>2421</v>
      </c>
      <c r="AF8" s="43">
        <f t="shared" si="3"/>
        <v>2775</v>
      </c>
      <c r="AG8" s="43">
        <f t="shared" si="3"/>
        <v>2677</v>
      </c>
      <c r="AH8" s="43">
        <f t="shared" si="3"/>
        <v>2698</v>
      </c>
      <c r="AI8" s="43">
        <f t="shared" si="3"/>
        <v>2698</v>
      </c>
      <c r="AJ8" s="43">
        <f t="shared" si="3"/>
        <v>2698</v>
      </c>
      <c r="AK8" s="43">
        <f t="shared" si="3"/>
        <v>168</v>
      </c>
      <c r="AL8" s="43">
        <f t="shared" si="3"/>
        <v>63700</v>
      </c>
      <c r="AM8" s="43">
        <f t="shared" si="3"/>
        <v>2773</v>
      </c>
      <c r="AN8" s="43">
        <f t="shared" si="3"/>
        <v>76984</v>
      </c>
      <c r="AO8" s="43">
        <f t="shared" si="3"/>
        <v>4442</v>
      </c>
      <c r="AP8" s="43">
        <f t="shared" si="3"/>
        <v>4925</v>
      </c>
      <c r="AQ8" s="43">
        <f t="shared" si="3"/>
        <v>5785</v>
      </c>
      <c r="AR8" s="43">
        <f t="shared" si="3"/>
        <v>6899</v>
      </c>
      <c r="AS8" s="43">
        <f t="shared" si="3"/>
        <v>6844</v>
      </c>
      <c r="AT8" s="43">
        <f t="shared" si="3"/>
        <v>6894</v>
      </c>
      <c r="AU8" s="43">
        <f t="shared" si="3"/>
        <v>6523</v>
      </c>
      <c r="AV8" s="43">
        <f t="shared" si="3"/>
        <v>7547</v>
      </c>
      <c r="AW8" s="43">
        <f t="shared" si="3"/>
        <v>7238</v>
      </c>
      <c r="AX8" s="43">
        <f t="shared" si="3"/>
        <v>6629</v>
      </c>
      <c r="AY8" s="43">
        <f t="shared" si="3"/>
        <v>6629</v>
      </c>
      <c r="AZ8" s="43">
        <f t="shared" si="3"/>
        <v>6629</v>
      </c>
      <c r="BA8" s="43">
        <f t="shared" si="3"/>
        <v>0</v>
      </c>
      <c r="BB8" s="43">
        <f t="shared" si="3"/>
        <v>203971.20000000001</v>
      </c>
      <c r="BC8" s="37">
        <f t="shared" si="1"/>
        <v>111.76504109589041</v>
      </c>
      <c r="BD8" s="37">
        <f t="shared" si="2"/>
        <v>82.301208465309585</v>
      </c>
      <c r="BE8" s="21">
        <f t="shared" ref="BE8:BE20" si="4">BB8/(C8*365)*100</f>
        <v>111.76504109589042</v>
      </c>
      <c r="BF8" s="21">
        <f t="shared" ref="BF8:BF20" si="5">BB8/(E8*365)*100</f>
        <v>82.301208465309585</v>
      </c>
    </row>
    <row r="9" spans="1:95" ht="24" customHeight="1">
      <c r="A9" s="47">
        <v>1</v>
      </c>
      <c r="B9" s="48" t="s">
        <v>1</v>
      </c>
      <c r="C9" s="47">
        <v>370</v>
      </c>
      <c r="D9" s="47">
        <v>340</v>
      </c>
      <c r="E9" s="47">
        <v>539</v>
      </c>
      <c r="F9" s="47">
        <v>82000</v>
      </c>
      <c r="G9" s="53">
        <v>37196</v>
      </c>
      <c r="H9" s="52">
        <f>SUM(I9:T9)</f>
        <v>95924</v>
      </c>
      <c r="I9" s="53">
        <v>5469</v>
      </c>
      <c r="J9" s="53">
        <v>6085</v>
      </c>
      <c r="K9" s="53">
        <v>7183</v>
      </c>
      <c r="L9" s="53">
        <v>8162</v>
      </c>
      <c r="M9" s="53">
        <v>8193</v>
      </c>
      <c r="N9" s="53">
        <v>8383</v>
      </c>
      <c r="O9" s="53">
        <v>8197</v>
      </c>
      <c r="P9" s="53">
        <v>9363</v>
      </c>
      <c r="Q9" s="61">
        <v>9185</v>
      </c>
      <c r="R9" s="53">
        <v>8568</v>
      </c>
      <c r="S9" s="53">
        <f t="shared" ref="S9:T11" si="6">R9</f>
        <v>8568</v>
      </c>
      <c r="T9" s="53">
        <f t="shared" si="6"/>
        <v>8568</v>
      </c>
      <c r="U9" s="24"/>
      <c r="V9" s="47">
        <v>19200</v>
      </c>
      <c r="W9" s="53">
        <v>2235</v>
      </c>
      <c r="X9" s="52">
        <f>SUM(Y9:AJ9)</f>
        <v>24530</v>
      </c>
      <c r="Y9" s="53">
        <v>1332</v>
      </c>
      <c r="Z9" s="53">
        <v>1620</v>
      </c>
      <c r="AA9" s="53">
        <v>1847</v>
      </c>
      <c r="AB9" s="53">
        <v>1804</v>
      </c>
      <c r="AC9" s="53">
        <v>1882</v>
      </c>
      <c r="AD9" s="53">
        <v>2037</v>
      </c>
      <c r="AE9" s="53">
        <v>2101</v>
      </c>
      <c r="AF9" s="53">
        <v>2359</v>
      </c>
      <c r="AG9" s="53">
        <v>2351</v>
      </c>
      <c r="AH9" s="53">
        <v>2399</v>
      </c>
      <c r="AI9" s="53">
        <f t="shared" ref="AI9:AJ11" si="7">AH9</f>
        <v>2399</v>
      </c>
      <c r="AJ9" s="53">
        <f t="shared" si="7"/>
        <v>2399</v>
      </c>
      <c r="AK9" s="24"/>
      <c r="AL9" s="53">
        <v>60000</v>
      </c>
      <c r="AM9" s="53">
        <v>44</v>
      </c>
      <c r="AN9" s="52">
        <f>SUM(AO9:AZ9)</f>
        <v>71394</v>
      </c>
      <c r="AO9" s="53">
        <v>4137</v>
      </c>
      <c r="AP9" s="53">
        <v>4465</v>
      </c>
      <c r="AQ9" s="53">
        <v>5336</v>
      </c>
      <c r="AR9" s="53">
        <v>6358</v>
      </c>
      <c r="AS9" s="53">
        <v>6311</v>
      </c>
      <c r="AT9" s="53">
        <v>6346</v>
      </c>
      <c r="AU9" s="53">
        <v>6096</v>
      </c>
      <c r="AV9" s="53">
        <v>7004</v>
      </c>
      <c r="AW9" s="53">
        <v>6834</v>
      </c>
      <c r="AX9" s="53">
        <v>6169</v>
      </c>
      <c r="AY9" s="53">
        <f t="shared" ref="AY9:AZ11" si="8">AX9</f>
        <v>6169</v>
      </c>
      <c r="AZ9" s="53">
        <f t="shared" si="8"/>
        <v>6169</v>
      </c>
      <c r="BA9" s="55"/>
      <c r="BB9" s="53">
        <f>129010/10*12</f>
        <v>154812</v>
      </c>
      <c r="BC9" s="25">
        <f t="shared" si="1"/>
        <v>114.63309885227693</v>
      </c>
      <c r="BD9" s="25">
        <f t="shared" si="2"/>
        <v>78.690624444049107</v>
      </c>
      <c r="BE9" s="21">
        <f t="shared" si="4"/>
        <v>114.63309885227693</v>
      </c>
      <c r="BF9" s="21">
        <f t="shared" si="5"/>
        <v>78.690624444049107</v>
      </c>
    </row>
    <row r="10" spans="1:95" ht="24" customHeight="1">
      <c r="A10" s="47">
        <v>2</v>
      </c>
      <c r="B10" s="48" t="s">
        <v>2</v>
      </c>
      <c r="C10" s="47">
        <v>60</v>
      </c>
      <c r="D10" s="47">
        <v>60</v>
      </c>
      <c r="E10" s="47">
        <v>60</v>
      </c>
      <c r="F10" s="47">
        <v>3000</v>
      </c>
      <c r="G10" s="53">
        <v>2800</v>
      </c>
      <c r="H10" s="52">
        <f>SUM(I10:T10)</f>
        <v>3762</v>
      </c>
      <c r="I10" s="53">
        <v>173</v>
      </c>
      <c r="J10" s="53">
        <v>153</v>
      </c>
      <c r="K10" s="53">
        <v>293</v>
      </c>
      <c r="L10" s="53">
        <v>361</v>
      </c>
      <c r="M10" s="53">
        <v>377</v>
      </c>
      <c r="N10" s="53">
        <v>335</v>
      </c>
      <c r="O10" s="53">
        <v>283</v>
      </c>
      <c r="P10" s="53">
        <v>362</v>
      </c>
      <c r="Q10" s="61">
        <v>345</v>
      </c>
      <c r="R10" s="53">
        <v>360</v>
      </c>
      <c r="S10" s="53">
        <f t="shared" si="6"/>
        <v>360</v>
      </c>
      <c r="T10" s="53">
        <f t="shared" si="6"/>
        <v>360</v>
      </c>
      <c r="U10" s="24"/>
      <c r="V10" s="47">
        <v>1400</v>
      </c>
      <c r="W10" s="53">
        <v>1100</v>
      </c>
      <c r="X10" s="52">
        <f>SUM(Y10:AJ10)</f>
        <v>1843</v>
      </c>
      <c r="Y10" s="91">
        <f>'[1]2017_ĐIỀU TRỊ TOÀN VIỆN'!$H$5</f>
        <v>112</v>
      </c>
      <c r="Z10" s="91">
        <f>'[1]2017_ĐIỀU TRỊ TOÀN VIỆN'!$H$6</f>
        <v>78</v>
      </c>
      <c r="AA10" s="91">
        <f>'[1]2017_ĐIỀU TRỊ TOÀN VIỆN'!$H$7</f>
        <v>124</v>
      </c>
      <c r="AB10" s="91">
        <f>'[1]2017_ĐIỀU TRỊ TOÀN VIỆN'!$H$8</f>
        <v>156</v>
      </c>
      <c r="AC10" s="91">
        <f>'[1]2017_ĐIỀU TRỊ TOÀN VIỆN'!$H$9</f>
        <v>187</v>
      </c>
      <c r="AD10" s="91">
        <f>'[1]2017_ĐIỀU TRỊ TOÀN VIỆN'!$H$10</f>
        <v>149</v>
      </c>
      <c r="AE10" s="53">
        <v>135</v>
      </c>
      <c r="AF10" s="91">
        <v>195</v>
      </c>
      <c r="AG10" s="53">
        <v>203</v>
      </c>
      <c r="AH10" s="53">
        <v>168</v>
      </c>
      <c r="AI10" s="53">
        <f t="shared" si="7"/>
        <v>168</v>
      </c>
      <c r="AJ10" s="53">
        <f t="shared" si="7"/>
        <v>168</v>
      </c>
      <c r="AK10" s="54">
        <f>AJ10</f>
        <v>168</v>
      </c>
      <c r="AL10" s="53">
        <v>500</v>
      </c>
      <c r="AM10" s="53">
        <v>1500</v>
      </c>
      <c r="AN10" s="52">
        <f>SUM(AO10:AZ10)</f>
        <v>1707</v>
      </c>
      <c r="AO10" s="53">
        <v>64</v>
      </c>
      <c r="AP10" s="53">
        <v>111</v>
      </c>
      <c r="AQ10" s="53">
        <v>121</v>
      </c>
      <c r="AR10" s="53">
        <v>199</v>
      </c>
      <c r="AS10" s="53">
        <v>159</v>
      </c>
      <c r="AT10" s="53">
        <v>148</v>
      </c>
      <c r="AU10" s="53">
        <v>130</v>
      </c>
      <c r="AV10" s="53">
        <v>144</v>
      </c>
      <c r="AW10" s="53">
        <v>142</v>
      </c>
      <c r="AX10" s="53">
        <v>163</v>
      </c>
      <c r="AY10" s="53">
        <f t="shared" si="8"/>
        <v>163</v>
      </c>
      <c r="AZ10" s="53">
        <f t="shared" si="8"/>
        <v>163</v>
      </c>
      <c r="BA10" s="55"/>
      <c r="BB10" s="53">
        <f>18216/10*12</f>
        <v>21859.199999999997</v>
      </c>
      <c r="BC10" s="25">
        <f t="shared" si="1"/>
        <v>99.813698630136969</v>
      </c>
      <c r="BD10" s="25">
        <f t="shared" si="2"/>
        <v>99.813698630136969</v>
      </c>
      <c r="BE10" s="21">
        <f t="shared" si="4"/>
        <v>99.813698630136969</v>
      </c>
      <c r="BF10" s="21">
        <f t="shared" si="5"/>
        <v>99.813698630136969</v>
      </c>
      <c r="BH10" s="4">
        <f>365/12*10</f>
        <v>304.16666666666669</v>
      </c>
    </row>
    <row r="11" spans="1:95" ht="24" customHeight="1">
      <c r="A11" s="47">
        <v>3</v>
      </c>
      <c r="B11" s="48" t="s">
        <v>3</v>
      </c>
      <c r="C11" s="47">
        <v>70</v>
      </c>
      <c r="D11" s="47">
        <v>60</v>
      </c>
      <c r="E11" s="47">
        <v>80</v>
      </c>
      <c r="F11" s="47">
        <v>6200</v>
      </c>
      <c r="G11" s="53">
        <v>1980</v>
      </c>
      <c r="H11" s="52">
        <f>SUM(I11:T11)</f>
        <v>5836</v>
      </c>
      <c r="I11" s="53">
        <v>411</v>
      </c>
      <c r="J11" s="53">
        <v>463</v>
      </c>
      <c r="K11" s="53">
        <v>506</v>
      </c>
      <c r="L11" s="53">
        <v>563</v>
      </c>
      <c r="M11" s="53">
        <v>563</v>
      </c>
      <c r="N11" s="53">
        <v>559</v>
      </c>
      <c r="O11" s="53">
        <v>482</v>
      </c>
      <c r="P11" s="53">
        <v>620</v>
      </c>
      <c r="Q11" s="61">
        <v>385</v>
      </c>
      <c r="R11" s="53">
        <v>428</v>
      </c>
      <c r="S11" s="53">
        <f t="shared" si="6"/>
        <v>428</v>
      </c>
      <c r="T11" s="53">
        <f t="shared" si="6"/>
        <v>428</v>
      </c>
      <c r="U11" s="24"/>
      <c r="V11" s="47">
        <v>1600</v>
      </c>
      <c r="W11" s="53">
        <v>751</v>
      </c>
      <c r="X11" s="52">
        <f>SUM(Y11:AJ11)</f>
        <v>1953</v>
      </c>
      <c r="Y11" s="53">
        <v>170</v>
      </c>
      <c r="Z11" s="53">
        <v>114</v>
      </c>
      <c r="AA11" s="53">
        <v>178</v>
      </c>
      <c r="AB11" s="53">
        <v>221</v>
      </c>
      <c r="AC11" s="53">
        <v>189</v>
      </c>
      <c r="AD11" s="53">
        <v>159</v>
      </c>
      <c r="AE11" s="61">
        <v>185</v>
      </c>
      <c r="AF11" s="61">
        <v>221</v>
      </c>
      <c r="AG11" s="53">
        <v>123</v>
      </c>
      <c r="AH11" s="53">
        <v>131</v>
      </c>
      <c r="AI11" s="53">
        <f t="shared" si="7"/>
        <v>131</v>
      </c>
      <c r="AJ11" s="53">
        <f t="shared" si="7"/>
        <v>131</v>
      </c>
      <c r="AK11" s="24"/>
      <c r="AL11" s="53">
        <v>3200</v>
      </c>
      <c r="AM11" s="53">
        <v>1229</v>
      </c>
      <c r="AN11" s="52">
        <f>SUM(AO11:AZ11)</f>
        <v>3883</v>
      </c>
      <c r="AO11" s="53">
        <v>241</v>
      </c>
      <c r="AP11" s="53">
        <v>349</v>
      </c>
      <c r="AQ11" s="53">
        <v>328</v>
      </c>
      <c r="AR11" s="53">
        <v>342</v>
      </c>
      <c r="AS11" s="53">
        <v>374</v>
      </c>
      <c r="AT11" s="53">
        <v>400</v>
      </c>
      <c r="AU11" s="53">
        <v>297</v>
      </c>
      <c r="AV11" s="53">
        <v>399</v>
      </c>
      <c r="AW11" s="53">
        <v>262</v>
      </c>
      <c r="AX11" s="53">
        <v>297</v>
      </c>
      <c r="AY11" s="53">
        <f t="shared" si="8"/>
        <v>297</v>
      </c>
      <c r="AZ11" s="53">
        <f t="shared" si="8"/>
        <v>297</v>
      </c>
      <c r="BA11" s="55"/>
      <c r="BB11" s="87">
        <v>27300</v>
      </c>
      <c r="BC11" s="25">
        <f t="shared" si="1"/>
        <v>106.84931506849315</v>
      </c>
      <c r="BD11" s="25">
        <f t="shared" si="2"/>
        <v>93.493150684931507</v>
      </c>
      <c r="BE11" s="21">
        <f t="shared" si="4"/>
        <v>106.84931506849315</v>
      </c>
      <c r="BF11" s="21">
        <f t="shared" si="5"/>
        <v>93.493150684931507</v>
      </c>
    </row>
    <row r="12" spans="1:95" s="38" customFormat="1" ht="24" customHeight="1">
      <c r="A12" s="41" t="s">
        <v>12</v>
      </c>
      <c r="B12" s="42" t="s">
        <v>4</v>
      </c>
      <c r="C12" s="44">
        <f>SUM(C13:C20)</f>
        <v>750</v>
      </c>
      <c r="D12" s="44">
        <f>SUM(D13:D20)</f>
        <v>680</v>
      </c>
      <c r="E12" s="44">
        <f>SUM(E13:E20)</f>
        <v>947</v>
      </c>
      <c r="F12" s="44">
        <f>SUM(F13:F20)</f>
        <v>1020000</v>
      </c>
      <c r="G12" s="44">
        <f>SUM(G13:G20)</f>
        <v>548702</v>
      </c>
      <c r="H12" s="46">
        <f>+SUM(I12:T12)</f>
        <v>909407</v>
      </c>
      <c r="I12" s="44">
        <f t="shared" ref="I12:T12" si="9">SUM(I13:I20)</f>
        <v>65956</v>
      </c>
      <c r="J12" s="44">
        <f t="shared" si="9"/>
        <v>64779</v>
      </c>
      <c r="K12" s="44">
        <f t="shared" si="9"/>
        <v>80105</v>
      </c>
      <c r="L12" s="44">
        <f t="shared" si="9"/>
        <v>88855</v>
      </c>
      <c r="M12" s="44">
        <f t="shared" si="9"/>
        <v>78704</v>
      </c>
      <c r="N12" s="44">
        <f t="shared" si="9"/>
        <v>78966</v>
      </c>
      <c r="O12" s="44">
        <f t="shared" si="9"/>
        <v>75510</v>
      </c>
      <c r="P12" s="44">
        <f t="shared" si="9"/>
        <v>65527</v>
      </c>
      <c r="Q12" s="44">
        <f t="shared" si="9"/>
        <v>77552</v>
      </c>
      <c r="R12" s="62">
        <f t="shared" si="9"/>
        <v>85174</v>
      </c>
      <c r="S12" s="44">
        <f t="shared" si="9"/>
        <v>75293</v>
      </c>
      <c r="T12" s="44">
        <f t="shared" si="9"/>
        <v>72986</v>
      </c>
      <c r="U12" s="45">
        <f>H12/F12%</f>
        <v>89.157549019607842</v>
      </c>
      <c r="V12" s="44">
        <f>SUM(V13:V20)</f>
        <v>39850</v>
      </c>
      <c r="W12" s="44">
        <f>SUM(W13:W20)</f>
        <v>27659</v>
      </c>
      <c r="X12" s="46" t="e">
        <f>+SUM(Y12:AJ12)</f>
        <v>#REF!</v>
      </c>
      <c r="Y12" s="44" t="e">
        <f t="shared" ref="Y12:AJ12" si="10">SUM(Y13:Y20)</f>
        <v>#REF!</v>
      </c>
      <c r="Z12" s="44" t="e">
        <f t="shared" si="10"/>
        <v>#REF!</v>
      </c>
      <c r="AA12" s="44" t="e">
        <f t="shared" si="10"/>
        <v>#REF!</v>
      </c>
      <c r="AB12" s="44" t="e">
        <f t="shared" si="10"/>
        <v>#REF!</v>
      </c>
      <c r="AC12" s="44" t="e">
        <f t="shared" si="10"/>
        <v>#REF!</v>
      </c>
      <c r="AD12" s="44" t="e">
        <f t="shared" si="10"/>
        <v>#REF!</v>
      </c>
      <c r="AE12" s="44" t="e">
        <f t="shared" si="10"/>
        <v>#REF!</v>
      </c>
      <c r="AF12" s="44" t="e">
        <f t="shared" si="10"/>
        <v>#REF!</v>
      </c>
      <c r="AG12" s="44" t="e">
        <f t="shared" si="10"/>
        <v>#REF!</v>
      </c>
      <c r="AH12" s="44" t="e">
        <f t="shared" si="10"/>
        <v>#REF!</v>
      </c>
      <c r="AI12" s="44">
        <f t="shared" si="10"/>
        <v>3880</v>
      </c>
      <c r="AJ12" s="44">
        <f t="shared" si="10"/>
        <v>3471</v>
      </c>
      <c r="AK12" s="45" t="e">
        <f>X12/V12%</f>
        <v>#REF!</v>
      </c>
      <c r="AL12" s="44">
        <f>SUM(AL13:AL20)</f>
        <v>614000</v>
      </c>
      <c r="AM12" s="44">
        <f>SUM(AM13:AM20)</f>
        <v>362055</v>
      </c>
      <c r="AN12" s="44">
        <f t="shared" ref="AN12:AZ12" si="11">SUM(AN13:AN20)</f>
        <v>605518</v>
      </c>
      <c r="AO12" s="44">
        <f t="shared" si="11"/>
        <v>44764</v>
      </c>
      <c r="AP12" s="44">
        <f t="shared" si="11"/>
        <v>39091</v>
      </c>
      <c r="AQ12" s="44">
        <f t="shared" si="11"/>
        <v>46132</v>
      </c>
      <c r="AR12" s="44">
        <f t="shared" si="11"/>
        <v>54729</v>
      </c>
      <c r="AS12" s="44">
        <f t="shared" si="11"/>
        <v>46485</v>
      </c>
      <c r="AT12" s="44">
        <f t="shared" si="11"/>
        <v>48523</v>
      </c>
      <c r="AU12" s="44">
        <f t="shared" si="11"/>
        <v>45263</v>
      </c>
      <c r="AV12" s="44">
        <f t="shared" si="11"/>
        <v>36266</v>
      </c>
      <c r="AW12" s="44">
        <f t="shared" si="11"/>
        <v>45949</v>
      </c>
      <c r="AX12" s="44">
        <f t="shared" si="11"/>
        <v>53515</v>
      </c>
      <c r="AY12" s="44">
        <f t="shared" si="11"/>
        <v>47457</v>
      </c>
      <c r="AZ12" s="44">
        <f t="shared" si="11"/>
        <v>43711</v>
      </c>
      <c r="BA12" s="45">
        <f t="shared" ref="BA12:BA20" si="12">AN12/AL12%</f>
        <v>98.618566775244304</v>
      </c>
      <c r="BB12" s="44">
        <f>SUM(BB13:BB20)</f>
        <v>322744</v>
      </c>
      <c r="BC12" s="37">
        <f t="shared" si="1"/>
        <v>117.89735159817351</v>
      </c>
      <c r="BD12" s="37">
        <f t="shared" si="2"/>
        <v>93.37171457088715</v>
      </c>
      <c r="BE12" s="21">
        <f t="shared" si="4"/>
        <v>117.89735159817351</v>
      </c>
      <c r="BF12" s="21">
        <f t="shared" si="5"/>
        <v>93.37171457088715</v>
      </c>
    </row>
    <row r="13" spans="1:95" ht="24" customHeight="1">
      <c r="A13" s="49">
        <v>1</v>
      </c>
      <c r="B13" s="50" t="s">
        <v>5</v>
      </c>
      <c r="C13" s="47">
        <v>100</v>
      </c>
      <c r="D13" s="47">
        <v>90</v>
      </c>
      <c r="E13" s="47">
        <v>164</v>
      </c>
      <c r="F13" s="47">
        <v>101000</v>
      </c>
      <c r="G13" s="58">
        <v>47718</v>
      </c>
      <c r="H13" s="52">
        <f>SUM(I13:T13)</f>
        <v>97232</v>
      </c>
      <c r="I13" s="53">
        <v>7336</v>
      </c>
      <c r="J13" s="53">
        <v>6286</v>
      </c>
      <c r="K13" s="53">
        <v>6894</v>
      </c>
      <c r="L13" s="53">
        <v>8367</v>
      </c>
      <c r="M13" s="53">
        <v>7305</v>
      </c>
      <c r="N13" s="53">
        <v>7365</v>
      </c>
      <c r="O13" s="53">
        <v>8110</v>
      </c>
      <c r="P13" s="53">
        <v>7945</v>
      </c>
      <c r="Q13" s="53">
        <v>8998</v>
      </c>
      <c r="R13" s="53">
        <v>9890</v>
      </c>
      <c r="S13" s="53">
        <v>9765</v>
      </c>
      <c r="T13" s="53">
        <v>8971</v>
      </c>
      <c r="U13" s="24"/>
      <c r="V13" s="47">
        <v>5500</v>
      </c>
      <c r="W13" s="58">
        <v>3654</v>
      </c>
      <c r="X13" s="52">
        <f>SUM(Y13:AJ13)</f>
        <v>9734</v>
      </c>
      <c r="Y13" s="53">
        <v>661</v>
      </c>
      <c r="Z13" s="53">
        <v>518</v>
      </c>
      <c r="AA13" s="53">
        <v>676</v>
      </c>
      <c r="AB13" s="53">
        <v>719</v>
      </c>
      <c r="AC13" s="53">
        <v>633</v>
      </c>
      <c r="AD13" s="53">
        <v>628</v>
      </c>
      <c r="AE13" s="53">
        <v>905</v>
      </c>
      <c r="AF13" s="53">
        <v>911</v>
      </c>
      <c r="AG13" s="53">
        <v>959</v>
      </c>
      <c r="AH13" s="53">
        <v>1296</v>
      </c>
      <c r="AI13" s="53">
        <v>971</v>
      </c>
      <c r="AJ13" s="53">
        <v>857</v>
      </c>
      <c r="AK13" s="24"/>
      <c r="AL13" s="58">
        <v>92000</v>
      </c>
      <c r="AM13" s="58">
        <v>42176</v>
      </c>
      <c r="AN13" s="95">
        <f>SUM(AO13:AZ13)</f>
        <v>86169</v>
      </c>
      <c r="AO13" s="53">
        <v>6675</v>
      </c>
      <c r="AP13" s="53">
        <v>5760</v>
      </c>
      <c r="AQ13" s="53">
        <v>6124</v>
      </c>
      <c r="AR13" s="53">
        <v>7488</v>
      </c>
      <c r="AS13" s="53">
        <v>6672</v>
      </c>
      <c r="AT13" s="53">
        <v>6737</v>
      </c>
      <c r="AU13" s="53">
        <v>7030</v>
      </c>
      <c r="AV13" s="53">
        <v>6680</v>
      </c>
      <c r="AW13" s="53">
        <v>7672</v>
      </c>
      <c r="AX13" s="53">
        <v>8423</v>
      </c>
      <c r="AY13" s="53">
        <v>8794</v>
      </c>
      <c r="AZ13" s="53">
        <v>8114</v>
      </c>
      <c r="BA13" s="53">
        <f>U13-AK13</f>
        <v>0</v>
      </c>
      <c r="BB13" s="53">
        <v>52758</v>
      </c>
      <c r="BC13" s="25">
        <f t="shared" si="1"/>
        <v>144.54246575342466</v>
      </c>
      <c r="BD13" s="25">
        <f t="shared" si="2"/>
        <v>88.135649849649184</v>
      </c>
      <c r="BE13" s="21">
        <f t="shared" si="4"/>
        <v>144.54246575342466</v>
      </c>
      <c r="BF13" s="21">
        <f t="shared" si="5"/>
        <v>88.135649849649184</v>
      </c>
    </row>
    <row r="14" spans="1:95" ht="24" customHeight="1">
      <c r="A14" s="47">
        <v>2</v>
      </c>
      <c r="B14" s="48" t="s">
        <v>6</v>
      </c>
      <c r="C14" s="47">
        <v>120</v>
      </c>
      <c r="D14" s="47">
        <v>110</v>
      </c>
      <c r="E14" s="47">
        <v>143</v>
      </c>
      <c r="F14" s="47">
        <v>200000</v>
      </c>
      <c r="G14" s="96">
        <v>71080</v>
      </c>
      <c r="H14" s="52">
        <f>SUM(I14:T14)</f>
        <v>194444</v>
      </c>
      <c r="I14" s="91">
        <f>14901+2660</f>
        <v>17561</v>
      </c>
      <c r="J14" s="91">
        <f>12695+3326</f>
        <v>16021</v>
      </c>
      <c r="K14" s="91">
        <f>13591+3655</f>
        <v>17246</v>
      </c>
      <c r="L14" s="91">
        <f>15404+3181</f>
        <v>18585</v>
      </c>
      <c r="M14" s="91">
        <f>12669+2889</f>
        <v>15558</v>
      </c>
      <c r="N14" s="91">
        <v>16815</v>
      </c>
      <c r="O14" s="91">
        <v>13528</v>
      </c>
      <c r="P14" s="91">
        <v>14580</v>
      </c>
      <c r="Q14" s="91">
        <v>16348</v>
      </c>
      <c r="R14" s="91">
        <v>16202</v>
      </c>
      <c r="S14" s="91">
        <v>16000</v>
      </c>
      <c r="T14" s="91">
        <v>16000</v>
      </c>
      <c r="U14" s="24"/>
      <c r="V14" s="47">
        <v>7000</v>
      </c>
      <c r="W14" s="53">
        <v>2746</v>
      </c>
      <c r="X14" s="95">
        <f>SUM(Y14:AJ14)</f>
        <v>5908</v>
      </c>
      <c r="Y14" s="53">
        <v>541</v>
      </c>
      <c r="Z14" s="53">
        <v>378</v>
      </c>
      <c r="AA14" s="53">
        <v>357</v>
      </c>
      <c r="AB14" s="53">
        <v>470</v>
      </c>
      <c r="AC14" s="53">
        <v>391</v>
      </c>
      <c r="AD14" s="53">
        <f>120+219</f>
        <v>339</v>
      </c>
      <c r="AE14" s="53">
        <v>474</v>
      </c>
      <c r="AF14" s="53">
        <v>506</v>
      </c>
      <c r="AG14" s="53">
        <v>568</v>
      </c>
      <c r="AH14" s="53">
        <v>784</v>
      </c>
      <c r="AI14" s="53">
        <v>550</v>
      </c>
      <c r="AJ14" s="53">
        <v>550</v>
      </c>
      <c r="AK14" s="24"/>
      <c r="AL14" s="53">
        <v>110000</v>
      </c>
      <c r="AM14" s="53">
        <v>51668</v>
      </c>
      <c r="AN14" s="95">
        <f>SUM(AO14:AZ14)</f>
        <v>111480</v>
      </c>
      <c r="AO14" s="53">
        <f>7253+1937+1330</f>
        <v>10520</v>
      </c>
      <c r="AP14" s="53">
        <f>5680+1416+837</f>
        <v>7933</v>
      </c>
      <c r="AQ14" s="53">
        <f>5980+1552+813</f>
        <v>8345</v>
      </c>
      <c r="AR14" s="53">
        <f>7054+1600+1067</f>
        <v>9721</v>
      </c>
      <c r="AS14" s="53">
        <f>5375+1511+995</f>
        <v>7881</v>
      </c>
      <c r="AT14" s="53">
        <f>6496+1876+1174</f>
        <v>9546</v>
      </c>
      <c r="AU14" s="53">
        <v>7780</v>
      </c>
      <c r="AV14" s="53">
        <v>8491</v>
      </c>
      <c r="AW14" s="53">
        <v>10514</v>
      </c>
      <c r="AX14" s="53">
        <v>10749</v>
      </c>
      <c r="AY14" s="53">
        <v>10000</v>
      </c>
      <c r="AZ14" s="53">
        <v>10000</v>
      </c>
      <c r="BA14" s="55">
        <f t="shared" si="12"/>
        <v>101.34545454545454</v>
      </c>
      <c r="BB14" s="53">
        <v>35400</v>
      </c>
      <c r="BC14" s="63">
        <f t="shared" si="1"/>
        <v>80.821917808219183</v>
      </c>
      <c r="BD14" s="63">
        <f t="shared" si="2"/>
        <v>67.822588370533566</v>
      </c>
      <c r="BE14" s="21">
        <f t="shared" si="4"/>
        <v>80.821917808219183</v>
      </c>
      <c r="BF14" s="21">
        <f t="shared" si="5"/>
        <v>67.82258837053358</v>
      </c>
    </row>
    <row r="15" spans="1:95" s="90" customFormat="1" ht="24" customHeight="1">
      <c r="A15" s="93">
        <v>3</v>
      </c>
      <c r="B15" s="94" t="s">
        <v>7</v>
      </c>
      <c r="C15" s="93">
        <v>120</v>
      </c>
      <c r="D15" s="93">
        <v>120</v>
      </c>
      <c r="E15" s="93">
        <v>171</v>
      </c>
      <c r="F15" s="93">
        <v>180000</v>
      </c>
      <c r="G15" s="96">
        <v>71057</v>
      </c>
      <c r="H15" s="95">
        <f t="shared" ref="H15:H20" si="13">SUM(I15:T15)</f>
        <v>176848</v>
      </c>
      <c r="I15" s="91">
        <v>12878</v>
      </c>
      <c r="J15" s="91">
        <v>13945</v>
      </c>
      <c r="K15" s="91">
        <v>16566</v>
      </c>
      <c r="L15" s="91">
        <v>14888</v>
      </c>
      <c r="M15" s="91">
        <v>13054</v>
      </c>
      <c r="N15" s="91">
        <v>10605</v>
      </c>
      <c r="O15" s="91">
        <v>11377</v>
      </c>
      <c r="P15" s="91">
        <v>14495</v>
      </c>
      <c r="Q15" s="91">
        <v>16415</v>
      </c>
      <c r="R15" s="91">
        <v>18750</v>
      </c>
      <c r="S15" s="91">
        <v>16825</v>
      </c>
      <c r="T15" s="91">
        <v>17050</v>
      </c>
      <c r="U15" s="88"/>
      <c r="V15" s="93">
        <v>6500</v>
      </c>
      <c r="W15" s="91">
        <v>3607</v>
      </c>
      <c r="X15" s="95" t="e">
        <f t="shared" ref="X15:X20" si="14">SUM(Y15:AJ15)</f>
        <v>#REF!</v>
      </c>
      <c r="Y15" s="91" t="e">
        <f>#REF!</f>
        <v>#REF!</v>
      </c>
      <c r="Z15" s="91" t="e">
        <f>#REF!</f>
        <v>#REF!</v>
      </c>
      <c r="AA15" s="91" t="e">
        <f>#REF!</f>
        <v>#REF!</v>
      </c>
      <c r="AB15" s="91" t="e">
        <f>#REF!</f>
        <v>#REF!</v>
      </c>
      <c r="AC15" s="91" t="e">
        <f>#REF!</f>
        <v>#REF!</v>
      </c>
      <c r="AD15" s="91" t="e">
        <f>#REF!</f>
        <v>#REF!</v>
      </c>
      <c r="AE15" s="91" t="e">
        <f>#REF!</f>
        <v>#REF!</v>
      </c>
      <c r="AF15" s="91" t="e">
        <f>#REF!</f>
        <v>#REF!</v>
      </c>
      <c r="AG15" s="91" t="e">
        <f>#REF!</f>
        <v>#REF!</v>
      </c>
      <c r="AH15" s="91" t="e">
        <f>#REF!</f>
        <v>#REF!</v>
      </c>
      <c r="AI15" s="91">
        <v>720</v>
      </c>
      <c r="AJ15" s="91">
        <v>685</v>
      </c>
      <c r="AK15" s="98"/>
      <c r="AL15" s="91">
        <v>75000</v>
      </c>
      <c r="AM15" s="91">
        <v>32154</v>
      </c>
      <c r="AN15" s="95">
        <f t="shared" ref="AN15:AN20" si="15">SUM(AO15:AZ15)</f>
        <v>66286</v>
      </c>
      <c r="AO15" s="91">
        <v>5955</v>
      </c>
      <c r="AP15" s="91">
        <v>4509</v>
      </c>
      <c r="AQ15" s="91">
        <v>6185</v>
      </c>
      <c r="AR15" s="91">
        <v>6629</v>
      </c>
      <c r="AS15" s="91">
        <v>4710</v>
      </c>
      <c r="AT15" s="91">
        <v>5110</v>
      </c>
      <c r="AU15" s="91">
        <v>4357</v>
      </c>
      <c r="AV15" s="91">
        <v>4796</v>
      </c>
      <c r="AW15" s="91">
        <v>6521</v>
      </c>
      <c r="AX15" s="91">
        <v>6154</v>
      </c>
      <c r="AY15" s="91">
        <v>5820</v>
      </c>
      <c r="AZ15" s="91">
        <v>5540</v>
      </c>
      <c r="BA15" s="98">
        <f t="shared" si="12"/>
        <v>88.38133333333333</v>
      </c>
      <c r="BB15" s="91">
        <v>46532</v>
      </c>
      <c r="BC15" s="89">
        <f t="shared" si="1"/>
        <v>106.23744292237443</v>
      </c>
      <c r="BD15" s="89">
        <f t="shared" si="2"/>
        <v>74.552591524473286</v>
      </c>
      <c r="BE15" s="21">
        <f t="shared" si="4"/>
        <v>106.23744292237443</v>
      </c>
      <c r="BF15" s="21">
        <f t="shared" si="5"/>
        <v>74.552591524473286</v>
      </c>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row>
    <row r="16" spans="1:95" ht="24" customHeight="1">
      <c r="A16" s="47">
        <v>4</v>
      </c>
      <c r="B16" s="48" t="s">
        <v>8</v>
      </c>
      <c r="C16" s="47">
        <v>90</v>
      </c>
      <c r="D16" s="47">
        <v>80</v>
      </c>
      <c r="E16" s="47">
        <v>120</v>
      </c>
      <c r="F16" s="47">
        <v>145000</v>
      </c>
      <c r="G16" s="96">
        <v>59840</v>
      </c>
      <c r="H16" s="52">
        <f t="shared" si="13"/>
        <v>133771</v>
      </c>
      <c r="I16" s="91">
        <v>1389</v>
      </c>
      <c r="J16" s="91">
        <v>7033</v>
      </c>
      <c r="K16" s="91">
        <v>11631</v>
      </c>
      <c r="L16" s="91">
        <v>12868</v>
      </c>
      <c r="M16" s="91">
        <v>12439</v>
      </c>
      <c r="N16" s="91">
        <v>13219</v>
      </c>
      <c r="O16" s="91">
        <v>12003</v>
      </c>
      <c r="P16" s="91">
        <v>12129</v>
      </c>
      <c r="Q16" s="91">
        <f>'[2] TH-CTKH_2017'!$O$14</f>
        <v>14384</v>
      </c>
      <c r="R16" s="91">
        <f>'[2] TH-CTKH_2017'!$Q$14</f>
        <v>12516</v>
      </c>
      <c r="S16" s="91">
        <v>12320</v>
      </c>
      <c r="T16" s="91">
        <f>23680/2</f>
        <v>11840</v>
      </c>
      <c r="U16" s="24"/>
      <c r="V16" s="93">
        <v>5050</v>
      </c>
      <c r="W16" s="91">
        <v>2795</v>
      </c>
      <c r="X16" s="95">
        <f t="shared" si="14"/>
        <v>6228</v>
      </c>
      <c r="Y16" s="91">
        <v>68</v>
      </c>
      <c r="Z16" s="91">
        <v>331</v>
      </c>
      <c r="AA16" s="91">
        <v>426</v>
      </c>
      <c r="AB16" s="91">
        <v>517</v>
      </c>
      <c r="AC16" s="91">
        <v>528</v>
      </c>
      <c r="AD16" s="91">
        <v>550</v>
      </c>
      <c r="AE16" s="91">
        <v>586</v>
      </c>
      <c r="AF16" s="91">
        <v>583</v>
      </c>
      <c r="AG16" s="91">
        <f>'[2] TH-CTKH_2017'!$O$17</f>
        <v>701</v>
      </c>
      <c r="AH16" s="91">
        <f>'[2] TH-CTKH_2017'!$Q$17</f>
        <v>900</v>
      </c>
      <c r="AI16" s="91">
        <v>519</v>
      </c>
      <c r="AJ16" s="91">
        <f>1038/2</f>
        <v>519</v>
      </c>
      <c r="AK16" s="98"/>
      <c r="AL16" s="91">
        <v>90000</v>
      </c>
      <c r="AM16" s="91">
        <v>36154</v>
      </c>
      <c r="AN16" s="95">
        <f t="shared" si="15"/>
        <v>70834</v>
      </c>
      <c r="AO16" s="91">
        <v>650</v>
      </c>
      <c r="AP16" s="91">
        <v>4242</v>
      </c>
      <c r="AQ16" s="91">
        <v>5285</v>
      </c>
      <c r="AR16" s="91">
        <v>6516</v>
      </c>
      <c r="AS16" s="91">
        <v>5608</v>
      </c>
      <c r="AT16" s="91">
        <v>6177</v>
      </c>
      <c r="AU16" s="91">
        <v>5829</v>
      </c>
      <c r="AV16" s="91">
        <v>5579</v>
      </c>
      <c r="AW16" s="91">
        <f>'[2] TH-CTKH_2017'!$O$20</f>
        <v>7688</v>
      </c>
      <c r="AX16" s="91">
        <f>'[2] TH-CTKH_2017'!$Q$20</f>
        <v>7766</v>
      </c>
      <c r="AY16" s="91">
        <v>7690</v>
      </c>
      <c r="AZ16" s="91">
        <f>15608/2</f>
        <v>7804</v>
      </c>
      <c r="BA16" s="98">
        <f t="shared" si="12"/>
        <v>78.704444444444448</v>
      </c>
      <c r="BB16" s="91">
        <v>43018</v>
      </c>
      <c r="BC16" s="63">
        <f t="shared" si="1"/>
        <v>130.95281582952816</v>
      </c>
      <c r="BD16" s="63">
        <f t="shared" si="2"/>
        <v>98.214611872146122</v>
      </c>
      <c r="BE16" s="21">
        <f t="shared" si="4"/>
        <v>130.95281582952816</v>
      </c>
      <c r="BF16" s="21">
        <f t="shared" si="5"/>
        <v>98.214611872146122</v>
      </c>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row>
    <row r="17" spans="1:95" s="90" customFormat="1" ht="24" customHeight="1">
      <c r="A17" s="93">
        <v>5</v>
      </c>
      <c r="B17" s="94" t="s">
        <v>9</v>
      </c>
      <c r="C17" s="93">
        <v>150</v>
      </c>
      <c r="D17" s="93">
        <v>140</v>
      </c>
      <c r="E17" s="93">
        <v>188</v>
      </c>
      <c r="F17" s="94">
        <v>174000</v>
      </c>
      <c r="G17" s="96">
        <v>173066</v>
      </c>
      <c r="H17" s="95">
        <v>169287</v>
      </c>
      <c r="I17" s="91">
        <v>11799</v>
      </c>
      <c r="J17" s="91">
        <v>9997</v>
      </c>
      <c r="K17" s="91">
        <v>12111</v>
      </c>
      <c r="L17" s="91">
        <v>14371</v>
      </c>
      <c r="M17" s="91">
        <v>12636</v>
      </c>
      <c r="N17" s="91">
        <v>12636</v>
      </c>
      <c r="O17" s="91">
        <v>14166</v>
      </c>
      <c r="P17" s="91"/>
      <c r="Q17" s="91"/>
      <c r="R17" s="91"/>
      <c r="S17" s="91"/>
      <c r="T17" s="91"/>
      <c r="U17" s="88"/>
      <c r="V17" s="93">
        <v>8000</v>
      </c>
      <c r="W17" s="91">
        <v>10050</v>
      </c>
      <c r="X17" s="95">
        <v>12935</v>
      </c>
      <c r="Y17" s="91">
        <v>1045</v>
      </c>
      <c r="Z17" s="91">
        <v>917</v>
      </c>
      <c r="AA17" s="91">
        <v>1073</v>
      </c>
      <c r="AB17" s="91">
        <v>1222</v>
      </c>
      <c r="AC17" s="91">
        <v>1229</v>
      </c>
      <c r="AD17" s="91">
        <v>1229</v>
      </c>
      <c r="AE17" s="91">
        <v>1067</v>
      </c>
      <c r="AF17" s="91"/>
      <c r="AG17" s="91"/>
      <c r="AH17" s="91"/>
      <c r="AI17" s="91"/>
      <c r="AJ17" s="91"/>
      <c r="AK17" s="98"/>
      <c r="AL17" s="91">
        <v>109000</v>
      </c>
      <c r="AM17" s="91">
        <v>111131</v>
      </c>
      <c r="AN17" s="95">
        <v>121492</v>
      </c>
      <c r="AO17" s="91">
        <v>9398</v>
      </c>
      <c r="AP17" s="91">
        <v>8031</v>
      </c>
      <c r="AQ17" s="91">
        <v>9549</v>
      </c>
      <c r="AR17" s="91">
        <v>11294</v>
      </c>
      <c r="AS17" s="91">
        <v>9836</v>
      </c>
      <c r="AT17" s="91">
        <v>9836</v>
      </c>
      <c r="AU17" s="91">
        <v>9915</v>
      </c>
      <c r="AV17" s="91"/>
      <c r="AW17" s="91"/>
      <c r="AX17" s="91"/>
      <c r="AY17" s="91"/>
      <c r="AZ17" s="91"/>
      <c r="BA17" s="98">
        <f t="shared" si="12"/>
        <v>111.4605504587156</v>
      </c>
      <c r="BB17" s="91">
        <v>75025</v>
      </c>
      <c r="BC17" s="89">
        <f t="shared" si="1"/>
        <v>137.03196347031962</v>
      </c>
      <c r="BD17" s="89">
        <f t="shared" si="2"/>
        <v>109.33401340716992</v>
      </c>
      <c r="BE17" s="21">
        <f t="shared" si="4"/>
        <v>137.03196347031962</v>
      </c>
      <c r="BF17" s="21">
        <f t="shared" si="5"/>
        <v>109.33401340716993</v>
      </c>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row>
    <row r="18" spans="1:95" ht="24" customHeight="1">
      <c r="A18" s="47">
        <v>6</v>
      </c>
      <c r="B18" s="48" t="s">
        <v>10</v>
      </c>
      <c r="C18" s="47">
        <v>110</v>
      </c>
      <c r="D18" s="47">
        <v>100</v>
      </c>
      <c r="E18" s="47">
        <v>125</v>
      </c>
      <c r="F18" s="47">
        <v>136000</v>
      </c>
      <c r="G18" s="96">
        <v>59872</v>
      </c>
      <c r="H18" s="52">
        <f>SUM(I18:T18)</f>
        <v>142559</v>
      </c>
      <c r="I18" s="91">
        <v>9072</v>
      </c>
      <c r="J18" s="91">
        <v>6421</v>
      </c>
      <c r="K18" s="91">
        <v>9772</v>
      </c>
      <c r="L18" s="91">
        <v>13238</v>
      </c>
      <c r="M18" s="91">
        <v>12063</v>
      </c>
      <c r="N18" s="91">
        <v>12425</v>
      </c>
      <c r="O18" s="91">
        <v>10459</v>
      </c>
      <c r="P18" s="91">
        <v>10310</v>
      </c>
      <c r="Q18" s="91">
        <v>13769</v>
      </c>
      <c r="R18" s="91">
        <v>19830</v>
      </c>
      <c r="S18" s="91">
        <v>13500</v>
      </c>
      <c r="T18" s="91">
        <v>11700</v>
      </c>
      <c r="U18" s="24"/>
      <c r="V18" s="93">
        <v>6000</v>
      </c>
      <c r="W18" s="53">
        <v>3092</v>
      </c>
      <c r="X18" s="52">
        <f>SUM(Y18:AJ18)</f>
        <v>9058</v>
      </c>
      <c r="Y18" s="91">
        <v>544</v>
      </c>
      <c r="Z18" s="91">
        <v>446</v>
      </c>
      <c r="AA18" s="91">
        <v>536</v>
      </c>
      <c r="AB18" s="91">
        <v>713</v>
      </c>
      <c r="AC18" s="91">
        <v>660</v>
      </c>
      <c r="AD18" s="91">
        <v>785</v>
      </c>
      <c r="AE18" s="91">
        <v>644</v>
      </c>
      <c r="AF18" s="91">
        <v>737</v>
      </c>
      <c r="AG18" s="91">
        <v>897</v>
      </c>
      <c r="AH18" s="91">
        <v>1456</v>
      </c>
      <c r="AI18" s="91">
        <v>950</v>
      </c>
      <c r="AJ18" s="91">
        <v>690</v>
      </c>
      <c r="AK18" s="98"/>
      <c r="AL18" s="91">
        <v>78000</v>
      </c>
      <c r="AM18" s="91">
        <v>34168</v>
      </c>
      <c r="AN18" s="95">
        <f>SUM(AO18:AZ18)</f>
        <v>96190</v>
      </c>
      <c r="AO18" s="91">
        <v>7067</v>
      </c>
      <c r="AP18" s="91">
        <v>4870</v>
      </c>
      <c r="AQ18" s="91">
        <v>6399</v>
      </c>
      <c r="AR18" s="91">
        <v>8465</v>
      </c>
      <c r="AS18" s="91">
        <v>7940</v>
      </c>
      <c r="AT18" s="91">
        <v>7083</v>
      </c>
      <c r="AU18" s="91">
        <v>6422</v>
      </c>
      <c r="AV18" s="91">
        <v>6721</v>
      </c>
      <c r="AW18" s="91">
        <v>8476</v>
      </c>
      <c r="AX18" s="91">
        <v>14647</v>
      </c>
      <c r="AY18" s="91">
        <v>10500</v>
      </c>
      <c r="AZ18" s="53">
        <v>7600</v>
      </c>
      <c r="BA18" s="55">
        <f t="shared" si="12"/>
        <v>123.32051282051282</v>
      </c>
      <c r="BB18" s="91">
        <v>52727</v>
      </c>
      <c r="BC18" s="63">
        <f t="shared" si="1"/>
        <v>131.32503113325032</v>
      </c>
      <c r="BD18" s="63">
        <f t="shared" si="2"/>
        <v>115.56602739726027</v>
      </c>
      <c r="BE18" s="21">
        <f t="shared" si="4"/>
        <v>131.32503113325032</v>
      </c>
      <c r="BF18" s="21">
        <f t="shared" si="5"/>
        <v>115.56602739726027</v>
      </c>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row>
    <row r="19" spans="1:95" ht="24" customHeight="1">
      <c r="A19" s="47">
        <v>7</v>
      </c>
      <c r="B19" s="48" t="s">
        <v>47</v>
      </c>
      <c r="C19" s="47">
        <v>20</v>
      </c>
      <c r="D19" s="47"/>
      <c r="E19" s="47">
        <v>0</v>
      </c>
      <c r="F19" s="47">
        <v>32000</v>
      </c>
      <c r="G19" s="58">
        <v>15960</v>
      </c>
      <c r="H19" s="52">
        <f t="shared" si="13"/>
        <v>30888</v>
      </c>
      <c r="I19" s="53">
        <v>2044</v>
      </c>
      <c r="J19" s="53">
        <v>1590</v>
      </c>
      <c r="K19" s="53">
        <v>2093</v>
      </c>
      <c r="L19" s="53">
        <v>2430</v>
      </c>
      <c r="M19" s="53">
        <v>2363</v>
      </c>
      <c r="N19" s="53">
        <v>2466</v>
      </c>
      <c r="O19" s="53">
        <v>2468</v>
      </c>
      <c r="P19" s="53">
        <v>2739</v>
      </c>
      <c r="Q19" s="53">
        <v>3447</v>
      </c>
      <c r="R19" s="53">
        <v>3048</v>
      </c>
      <c r="S19" s="97">
        <v>3100</v>
      </c>
      <c r="T19" s="97">
        <v>3100</v>
      </c>
      <c r="U19" s="24"/>
      <c r="V19" s="47"/>
      <c r="W19" s="53"/>
      <c r="X19" s="52">
        <f t="shared" si="14"/>
        <v>0</v>
      </c>
      <c r="Y19" s="91"/>
      <c r="Z19" s="91"/>
      <c r="AA19" s="91"/>
      <c r="AB19" s="91"/>
      <c r="AC19" s="91"/>
      <c r="AD19" s="91"/>
      <c r="AE19" s="91"/>
      <c r="AF19" s="91"/>
      <c r="AG19" s="91"/>
      <c r="AH19" s="91"/>
      <c r="AI19" s="91"/>
      <c r="AJ19" s="91"/>
      <c r="AK19" s="98"/>
      <c r="AL19" s="91">
        <v>15000</v>
      </c>
      <c r="AM19" s="91">
        <v>8547</v>
      </c>
      <c r="AN19" s="95">
        <f t="shared" si="15"/>
        <v>11624</v>
      </c>
      <c r="AO19" s="53">
        <v>912</v>
      </c>
      <c r="AP19" s="53">
        <v>607</v>
      </c>
      <c r="AQ19" s="53">
        <v>766</v>
      </c>
      <c r="AR19" s="53">
        <v>860</v>
      </c>
      <c r="AS19" s="53">
        <v>844</v>
      </c>
      <c r="AT19" s="53">
        <v>861</v>
      </c>
      <c r="AU19" s="53">
        <v>874</v>
      </c>
      <c r="AV19" s="53">
        <v>1024</v>
      </c>
      <c r="AW19" s="53">
        <v>1243</v>
      </c>
      <c r="AX19" s="53">
        <v>1233</v>
      </c>
      <c r="AY19" s="92">
        <v>1200</v>
      </c>
      <c r="AZ19" s="92">
        <v>1200</v>
      </c>
      <c r="BA19" s="55">
        <f t="shared" si="12"/>
        <v>77.493333333333339</v>
      </c>
      <c r="BB19" s="53">
        <v>0</v>
      </c>
      <c r="BC19" s="63">
        <f t="shared" si="1"/>
        <v>0</v>
      </c>
      <c r="BD19" s="63" t="e">
        <f t="shared" si="2"/>
        <v>#DIV/0!</v>
      </c>
      <c r="BE19" s="21">
        <f t="shared" si="4"/>
        <v>0</v>
      </c>
      <c r="BF19" s="21" t="e">
        <f t="shared" si="5"/>
        <v>#DIV/0!</v>
      </c>
    </row>
    <row r="20" spans="1:95" ht="24" customHeight="1">
      <c r="A20" s="47">
        <v>8</v>
      </c>
      <c r="B20" s="51" t="s">
        <v>15</v>
      </c>
      <c r="C20" s="77">
        <v>40</v>
      </c>
      <c r="D20" s="77">
        <v>40</v>
      </c>
      <c r="E20" s="77">
        <v>36</v>
      </c>
      <c r="F20" s="77">
        <v>52000</v>
      </c>
      <c r="G20" s="60">
        <v>50109</v>
      </c>
      <c r="H20" s="76">
        <f t="shared" si="13"/>
        <v>45949</v>
      </c>
      <c r="I20" s="78">
        <v>3877</v>
      </c>
      <c r="J20" s="78">
        <v>3486</v>
      </c>
      <c r="K20" s="78">
        <v>3792</v>
      </c>
      <c r="L20" s="78">
        <v>4108</v>
      </c>
      <c r="M20" s="78">
        <v>3286</v>
      </c>
      <c r="N20" s="78">
        <v>3435</v>
      </c>
      <c r="O20" s="78">
        <v>3399</v>
      </c>
      <c r="P20" s="78">
        <v>3329</v>
      </c>
      <c r="Q20" s="78">
        <v>4191</v>
      </c>
      <c r="R20" s="78">
        <v>4938</v>
      </c>
      <c r="S20" s="78">
        <v>3783</v>
      </c>
      <c r="T20" s="78">
        <v>4325</v>
      </c>
      <c r="U20" s="26"/>
      <c r="V20" s="77">
        <v>1800</v>
      </c>
      <c r="W20" s="59">
        <v>1715</v>
      </c>
      <c r="X20" s="52">
        <f t="shared" si="14"/>
        <v>2082</v>
      </c>
      <c r="Y20" s="78">
        <v>155</v>
      </c>
      <c r="Z20" s="78">
        <v>141</v>
      </c>
      <c r="AA20" s="78">
        <v>148</v>
      </c>
      <c r="AB20" s="78">
        <v>177</v>
      </c>
      <c r="AC20" s="78">
        <v>134</v>
      </c>
      <c r="AD20" s="78">
        <v>135</v>
      </c>
      <c r="AE20" s="78">
        <v>197</v>
      </c>
      <c r="AF20" s="78">
        <v>204</v>
      </c>
      <c r="AG20" s="78">
        <v>218</v>
      </c>
      <c r="AH20" s="78">
        <v>233</v>
      </c>
      <c r="AI20" s="78">
        <v>170</v>
      </c>
      <c r="AJ20" s="78">
        <v>170</v>
      </c>
      <c r="AK20" s="26"/>
      <c r="AL20" s="59">
        <v>45000</v>
      </c>
      <c r="AM20" s="59">
        <v>46057</v>
      </c>
      <c r="AN20" s="95">
        <f t="shared" si="15"/>
        <v>41443</v>
      </c>
      <c r="AO20" s="78">
        <v>3587</v>
      </c>
      <c r="AP20" s="78">
        <v>3139</v>
      </c>
      <c r="AQ20" s="78">
        <v>3479</v>
      </c>
      <c r="AR20" s="78">
        <v>3756</v>
      </c>
      <c r="AS20" s="78">
        <v>2994</v>
      </c>
      <c r="AT20" s="78">
        <v>3173</v>
      </c>
      <c r="AU20" s="56">
        <v>3056</v>
      </c>
      <c r="AV20" s="56">
        <v>2975</v>
      </c>
      <c r="AW20" s="56">
        <v>3835</v>
      </c>
      <c r="AX20" s="56">
        <v>4543</v>
      </c>
      <c r="AY20" s="56">
        <v>3453</v>
      </c>
      <c r="AZ20" s="56">
        <v>3453</v>
      </c>
      <c r="BA20" s="57">
        <f t="shared" si="12"/>
        <v>92.095555555555549</v>
      </c>
      <c r="BB20" s="78">
        <f>14484+1400+1400</f>
        <v>17284</v>
      </c>
      <c r="BC20" s="64">
        <f t="shared" si="1"/>
        <v>118.38356164383562</v>
      </c>
      <c r="BD20" s="65">
        <f t="shared" si="2"/>
        <v>131.5372907153729</v>
      </c>
      <c r="BE20" s="21">
        <f t="shared" si="4"/>
        <v>118.38356164383561</v>
      </c>
      <c r="BF20" s="21">
        <f t="shared" si="5"/>
        <v>131.5372907153729</v>
      </c>
    </row>
    <row r="21" spans="1:95" s="27" customFormat="1" ht="18.75" customHeight="1">
      <c r="A21" s="13"/>
      <c r="B21" s="14" t="s">
        <v>41</v>
      </c>
      <c r="C21" s="69" t="s">
        <v>42</v>
      </c>
      <c r="D21" s="69"/>
      <c r="E21" s="69"/>
      <c r="F21" s="69"/>
      <c r="G21" s="66"/>
      <c r="H21" s="67"/>
      <c r="I21" s="67"/>
      <c r="J21" s="66"/>
      <c r="K21" s="69"/>
      <c r="L21" s="66"/>
      <c r="M21" s="67"/>
      <c r="N21" s="67"/>
      <c r="O21" s="70"/>
      <c r="P21" s="71"/>
      <c r="Q21" s="72"/>
      <c r="R21" s="68"/>
      <c r="S21" s="68"/>
      <c r="T21" s="70"/>
      <c r="U21" s="73"/>
      <c r="V21" s="15"/>
      <c r="W21" s="15"/>
    </row>
    <row r="22" spans="1:95" s="27" customFormat="1" ht="18.75" customHeight="1">
      <c r="A22" s="13"/>
      <c r="B22" s="16"/>
      <c r="C22" s="74" t="s">
        <v>43</v>
      </c>
      <c r="D22" s="74"/>
      <c r="E22" s="74"/>
      <c r="F22" s="74"/>
      <c r="G22" s="66"/>
      <c r="H22" s="67"/>
      <c r="I22" s="67"/>
      <c r="J22" s="66"/>
      <c r="K22" s="74"/>
      <c r="L22" s="66"/>
      <c r="M22" s="67"/>
      <c r="N22" s="67"/>
      <c r="O22" s="70"/>
      <c r="P22" s="18"/>
      <c r="Q22" s="72"/>
      <c r="R22" s="68"/>
      <c r="S22" s="68"/>
      <c r="T22" s="70"/>
      <c r="U22" s="73"/>
      <c r="V22" s="15"/>
      <c r="W22" s="15"/>
    </row>
    <row r="23" spans="1:95" ht="33.75" customHeight="1">
      <c r="A23" s="6"/>
      <c r="B23" s="6"/>
      <c r="C23" s="79" t="s">
        <v>48</v>
      </c>
      <c r="D23" s="79"/>
      <c r="E23" s="79"/>
      <c r="F23" s="79"/>
      <c r="G23" s="80"/>
      <c r="H23" s="81"/>
      <c r="I23" s="79"/>
      <c r="J23" s="82"/>
      <c r="K23" s="82"/>
      <c r="L23" s="82"/>
      <c r="M23" s="82"/>
      <c r="N23" s="82"/>
      <c r="O23" s="82"/>
      <c r="P23" s="83"/>
      <c r="Q23" s="83"/>
      <c r="R23" s="83"/>
      <c r="S23" s="83"/>
      <c r="T23" s="83"/>
      <c r="U23" s="83"/>
      <c r="V23" s="84"/>
      <c r="W23" s="85"/>
      <c r="X23" s="86"/>
      <c r="Y23" s="84"/>
      <c r="Z23" s="84"/>
      <c r="AA23" s="84"/>
      <c r="AB23" s="84"/>
      <c r="AC23" s="84"/>
      <c r="AD23" s="84"/>
      <c r="AE23" s="84"/>
      <c r="AF23" s="84"/>
      <c r="AG23" s="84"/>
      <c r="AH23" s="84"/>
      <c r="AI23" s="84"/>
      <c r="AJ23" s="84"/>
      <c r="AK23" s="29"/>
      <c r="AL23" s="10"/>
      <c r="AM23" s="8"/>
      <c r="AN23" s="1"/>
      <c r="AO23" s="28"/>
      <c r="AP23" s="28"/>
      <c r="AQ23" s="28"/>
      <c r="AR23" s="28"/>
      <c r="AS23" s="28"/>
      <c r="AT23" s="28"/>
      <c r="AU23" s="28"/>
      <c r="AV23" s="28"/>
      <c r="AW23" s="28"/>
      <c r="AX23" s="28"/>
      <c r="AY23" s="28"/>
      <c r="AZ23" s="28"/>
      <c r="BA23" s="30"/>
      <c r="BB23" s="31"/>
      <c r="BC23" s="32"/>
      <c r="BD23" s="32"/>
      <c r="BE23" s="32"/>
      <c r="BF23" s="32"/>
    </row>
    <row r="24" spans="1:95" ht="21" customHeight="1">
      <c r="A24" s="6"/>
      <c r="B24" s="6"/>
      <c r="C24" s="304"/>
      <c r="D24" s="304"/>
      <c r="E24" s="304"/>
      <c r="F24" s="304"/>
      <c r="G24" s="75"/>
      <c r="H24" s="17"/>
      <c r="I24" s="305"/>
      <c r="J24" s="305"/>
      <c r="K24" s="305"/>
      <c r="L24" s="305"/>
      <c r="M24" s="305"/>
      <c r="N24" s="305"/>
      <c r="O24" s="305"/>
      <c r="P24" s="305"/>
      <c r="Q24" s="305"/>
      <c r="R24" s="305"/>
      <c r="S24" s="305"/>
      <c r="T24" s="305"/>
      <c r="U24" s="305"/>
      <c r="V24" s="9"/>
      <c r="W24" s="8"/>
      <c r="X24" s="1"/>
      <c r="Y24" s="28"/>
      <c r="Z24" s="28"/>
      <c r="AA24" s="28"/>
      <c r="AB24" s="28"/>
      <c r="AC24" s="28"/>
      <c r="AD24" s="28"/>
      <c r="AE24" s="28"/>
      <c r="AF24" s="28"/>
      <c r="AG24" s="28"/>
      <c r="AH24" s="28"/>
      <c r="AI24" s="28"/>
      <c r="AJ24" s="28"/>
      <c r="AK24" s="29"/>
      <c r="AL24" s="10"/>
      <c r="AM24" s="8"/>
      <c r="AN24" s="1"/>
      <c r="AO24" s="28"/>
      <c r="AP24" s="28"/>
      <c r="AQ24" s="28"/>
      <c r="AR24" s="28"/>
      <c r="AS24" s="28"/>
      <c r="AT24" s="28"/>
      <c r="AU24" s="28"/>
      <c r="AV24" s="28"/>
      <c r="AW24" s="28"/>
      <c r="AX24" s="28"/>
      <c r="AY24" s="28"/>
      <c r="AZ24" s="28"/>
      <c r="BA24" s="30"/>
      <c r="BB24" s="31"/>
      <c r="BC24" s="32"/>
      <c r="BD24" s="32"/>
      <c r="BE24" s="32"/>
      <c r="BF24" s="32"/>
    </row>
    <row r="25" spans="1:95" ht="21" customHeight="1">
      <c r="A25" s="6"/>
      <c r="B25" s="6"/>
      <c r="C25" s="306"/>
      <c r="D25" s="306"/>
      <c r="E25" s="306"/>
      <c r="F25" s="306"/>
      <c r="G25" s="8"/>
      <c r="H25" s="1"/>
      <c r="I25" s="307"/>
      <c r="J25" s="307"/>
      <c r="K25" s="307"/>
      <c r="L25" s="307"/>
      <c r="M25" s="307"/>
      <c r="N25" s="307"/>
      <c r="O25" s="307"/>
      <c r="P25" s="307"/>
      <c r="Q25" s="307"/>
      <c r="R25" s="307"/>
      <c r="S25" s="307"/>
      <c r="T25" s="307"/>
      <c r="U25" s="307"/>
      <c r="V25" s="9"/>
      <c r="W25" s="8"/>
      <c r="X25" s="1"/>
      <c r="Y25" s="28"/>
      <c r="Z25" s="28"/>
      <c r="AA25" s="28"/>
      <c r="AB25" s="28"/>
      <c r="AC25" s="28"/>
      <c r="AD25" s="28"/>
      <c r="AE25" s="28"/>
      <c r="AF25" s="28"/>
      <c r="AG25" s="28"/>
      <c r="AH25" s="28"/>
      <c r="AI25" s="28"/>
      <c r="AJ25" s="28"/>
      <c r="AK25" s="29"/>
      <c r="AL25" s="10"/>
      <c r="AM25" s="8"/>
      <c r="AN25" s="1"/>
      <c r="AO25" s="28"/>
      <c r="AP25" s="28"/>
      <c r="AQ25" s="28"/>
      <c r="AR25" s="28"/>
      <c r="AS25" s="28"/>
      <c r="AT25" s="28"/>
      <c r="AU25" s="28"/>
      <c r="AV25" s="28"/>
      <c r="AW25" s="28"/>
      <c r="AX25" s="28"/>
      <c r="AY25" s="28"/>
      <c r="AZ25" s="28"/>
      <c r="BA25" s="30"/>
      <c r="BB25" s="31"/>
      <c r="BC25" s="32"/>
      <c r="BD25" s="32"/>
      <c r="BE25" s="32"/>
      <c r="BF25" s="32"/>
    </row>
    <row r="26" spans="1:95" ht="21" customHeight="1">
      <c r="A26" s="6"/>
      <c r="B26" s="6"/>
      <c r="C26" s="306"/>
      <c r="D26" s="306"/>
      <c r="E26" s="306"/>
      <c r="F26" s="306"/>
      <c r="G26" s="8"/>
      <c r="H26" s="1"/>
      <c r="I26" s="307"/>
      <c r="J26" s="307"/>
      <c r="K26" s="307"/>
      <c r="L26" s="307"/>
      <c r="M26" s="307"/>
      <c r="N26" s="307"/>
      <c r="O26" s="307"/>
      <c r="P26" s="307"/>
      <c r="Q26" s="307"/>
      <c r="R26" s="307"/>
      <c r="S26" s="307"/>
      <c r="T26" s="307"/>
      <c r="U26" s="307"/>
      <c r="V26" s="9"/>
      <c r="W26" s="8"/>
      <c r="X26" s="1"/>
      <c r="Y26" s="28"/>
      <c r="Z26" s="28"/>
      <c r="AA26" s="28"/>
      <c r="AB26" s="28"/>
      <c r="AC26" s="28"/>
      <c r="AD26" s="28"/>
      <c r="AE26" s="28"/>
      <c r="AF26" s="28"/>
      <c r="AG26" s="28"/>
      <c r="AH26" s="28"/>
      <c r="AI26" s="28"/>
      <c r="AJ26" s="28"/>
      <c r="AK26" s="29"/>
      <c r="AL26" s="10"/>
      <c r="AM26" s="8"/>
      <c r="AN26" s="1"/>
      <c r="AO26" s="28"/>
      <c r="AP26" s="28"/>
      <c r="AQ26" s="28"/>
      <c r="AR26" s="28"/>
      <c r="AS26" s="28"/>
      <c r="AT26" s="28"/>
      <c r="AU26" s="28"/>
      <c r="AV26" s="28"/>
      <c r="AW26" s="28"/>
      <c r="AX26" s="28"/>
      <c r="AY26" s="28"/>
      <c r="AZ26" s="28"/>
      <c r="BA26" s="30"/>
      <c r="BB26" s="31"/>
      <c r="BC26" s="32"/>
      <c r="BD26" s="32"/>
      <c r="BE26" s="32"/>
      <c r="BF26" s="32"/>
    </row>
    <row r="27" spans="1:95" ht="21" customHeight="1">
      <c r="A27" s="6"/>
      <c r="B27" s="6"/>
      <c r="C27" s="8"/>
      <c r="D27" s="8"/>
      <c r="E27" s="8"/>
      <c r="F27" s="8"/>
      <c r="G27" s="8"/>
      <c r="H27" s="2"/>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3"/>
      <c r="AL27" s="11"/>
      <c r="AM27" s="11"/>
      <c r="AN27" s="3"/>
      <c r="AO27" s="1"/>
      <c r="AP27" s="1"/>
      <c r="AQ27" s="1"/>
      <c r="AR27" s="1"/>
      <c r="AS27" s="1"/>
      <c r="AT27" s="1"/>
      <c r="AU27" s="1"/>
      <c r="AV27" s="1"/>
      <c r="AW27" s="1"/>
      <c r="AX27" s="1"/>
      <c r="AY27" s="1"/>
      <c r="AZ27" s="1"/>
      <c r="BA27" s="30"/>
      <c r="BB27" s="31"/>
      <c r="BC27" s="32"/>
      <c r="BD27" s="32"/>
      <c r="BE27" s="32"/>
      <c r="BF27" s="32"/>
    </row>
    <row r="28" spans="1:95" ht="21" customHeight="1">
      <c r="A28" s="6"/>
      <c r="B28" s="6"/>
      <c r="C28" s="8"/>
      <c r="D28" s="8"/>
      <c r="E28" s="8"/>
      <c r="F28" s="8"/>
      <c r="G28" s="8"/>
      <c r="H28" s="2"/>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3"/>
      <c r="AL28" s="11"/>
      <c r="AM28" s="11"/>
      <c r="AN28" s="3"/>
      <c r="AO28" s="1"/>
      <c r="AP28" s="1"/>
      <c r="AQ28" s="1"/>
      <c r="AR28" s="1"/>
      <c r="AS28" s="1"/>
      <c r="AT28" s="1"/>
      <c r="AU28" s="1"/>
      <c r="AV28" s="1"/>
      <c r="AW28" s="1"/>
      <c r="AX28" s="1"/>
      <c r="AY28" s="1"/>
      <c r="AZ28" s="1"/>
      <c r="BA28" s="30"/>
      <c r="BB28" s="31"/>
      <c r="BC28" s="32"/>
      <c r="BD28" s="32"/>
      <c r="BE28" s="32"/>
      <c r="BF28" s="32"/>
    </row>
    <row r="29" spans="1:95" ht="21" customHeight="1">
      <c r="A29" s="6"/>
      <c r="B29" s="6"/>
      <c r="C29" s="306"/>
      <c r="D29" s="306"/>
      <c r="E29" s="306"/>
      <c r="F29" s="306"/>
      <c r="G29" s="8"/>
      <c r="H29" s="1"/>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
      <c r="AL29" s="6"/>
      <c r="AM29" s="6"/>
      <c r="AN29" s="1"/>
      <c r="AO29" s="1"/>
      <c r="AP29" s="1"/>
      <c r="AQ29" s="1"/>
      <c r="AR29" s="1"/>
      <c r="AS29" s="1"/>
      <c r="AT29" s="1"/>
      <c r="AU29" s="1"/>
      <c r="AV29" s="1"/>
      <c r="AW29" s="1"/>
      <c r="AX29" s="1"/>
      <c r="AY29" s="1"/>
      <c r="AZ29" s="1"/>
      <c r="BA29" s="30"/>
      <c r="BB29" s="31"/>
      <c r="BC29" s="32"/>
      <c r="BD29" s="32"/>
      <c r="BE29" s="32"/>
      <c r="BF29" s="32"/>
    </row>
    <row r="30" spans="1:95" ht="21" customHeight="1">
      <c r="A30" s="6"/>
      <c r="B30" s="6"/>
      <c r="C30" s="306"/>
      <c r="D30" s="306"/>
      <c r="E30" s="306"/>
      <c r="F30" s="306"/>
      <c r="G30" s="8"/>
      <c r="H30" s="1"/>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
      <c r="AL30" s="6"/>
      <c r="AM30" s="6"/>
      <c r="AN30" s="1"/>
      <c r="AO30" s="1"/>
      <c r="AP30" s="1"/>
      <c r="AQ30" s="1"/>
      <c r="AR30" s="1"/>
      <c r="AS30" s="1"/>
      <c r="AT30" s="1"/>
      <c r="AU30" s="1"/>
      <c r="AV30" s="1"/>
      <c r="AW30" s="1"/>
      <c r="AX30" s="1"/>
      <c r="AY30" s="1"/>
      <c r="AZ30" s="1"/>
      <c r="BA30" s="30"/>
      <c r="BB30" s="31"/>
      <c r="BC30" s="32"/>
      <c r="BD30" s="32"/>
      <c r="BE30" s="32"/>
      <c r="BF30" s="32"/>
    </row>
    <row r="31" spans="1:95" ht="21" customHeight="1">
      <c r="A31" s="6"/>
      <c r="B31" s="6"/>
      <c r="C31" s="306"/>
      <c r="D31" s="306"/>
      <c r="E31" s="306"/>
      <c r="F31" s="306"/>
      <c r="G31" s="8"/>
      <c r="H31" s="1"/>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
      <c r="AL31" s="6"/>
      <c r="AM31" s="6"/>
      <c r="AN31" s="1"/>
      <c r="AO31" s="1"/>
      <c r="AP31" s="1"/>
      <c r="AQ31" s="1"/>
      <c r="AR31" s="1"/>
      <c r="AS31" s="1"/>
      <c r="AT31" s="1"/>
      <c r="AU31" s="1"/>
      <c r="AV31" s="1"/>
      <c r="AW31" s="1"/>
      <c r="AX31" s="1"/>
      <c r="AY31" s="1"/>
      <c r="AZ31" s="1"/>
      <c r="BA31" s="30"/>
      <c r="BB31" s="31"/>
      <c r="BC31" s="32"/>
      <c r="BD31" s="32"/>
      <c r="BE31" s="32"/>
      <c r="BF31" s="32"/>
    </row>
    <row r="32" spans="1:95" ht="21" customHeight="1">
      <c r="A32" s="6"/>
      <c r="B32" s="6"/>
      <c r="C32" s="306"/>
      <c r="D32" s="306"/>
      <c r="E32" s="306"/>
      <c r="F32" s="306"/>
      <c r="G32" s="8"/>
      <c r="H32" s="1"/>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
      <c r="AL32" s="6"/>
      <c r="AM32" s="6"/>
      <c r="AN32" s="1"/>
      <c r="AO32" s="1"/>
      <c r="AP32" s="1"/>
      <c r="AQ32" s="1"/>
      <c r="AR32" s="1"/>
      <c r="AS32" s="1"/>
      <c r="AT32" s="1"/>
      <c r="AU32" s="1"/>
      <c r="AV32" s="1"/>
      <c r="AW32" s="1"/>
      <c r="AX32" s="1"/>
      <c r="AY32" s="1"/>
      <c r="AZ32" s="1"/>
      <c r="BA32" s="30"/>
      <c r="BB32" s="31"/>
      <c r="BC32" s="32"/>
      <c r="BD32" s="32"/>
      <c r="BE32" s="32"/>
      <c r="BF32" s="32"/>
    </row>
    <row r="33" spans="1:58" ht="27" customHeight="1">
      <c r="A33" s="6"/>
      <c r="B33" s="6"/>
      <c r="C33" s="310"/>
      <c r="D33" s="310"/>
      <c r="E33" s="310"/>
      <c r="F33" s="310"/>
      <c r="G33" s="12"/>
      <c r="H33" s="1"/>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
      <c r="AL33" s="6"/>
      <c r="AM33" s="6"/>
      <c r="AN33" s="1"/>
      <c r="AO33" s="1"/>
      <c r="AP33" s="1"/>
      <c r="AQ33" s="1"/>
      <c r="AR33" s="1"/>
      <c r="AS33" s="1"/>
      <c r="AT33" s="1"/>
      <c r="AU33" s="1"/>
      <c r="AV33" s="1"/>
      <c r="AW33" s="1"/>
      <c r="AX33" s="1"/>
      <c r="AY33" s="1"/>
      <c r="AZ33" s="1"/>
      <c r="BA33" s="30"/>
      <c r="BB33" s="31"/>
      <c r="BC33" s="32"/>
      <c r="BD33" s="32"/>
      <c r="BE33" s="32"/>
      <c r="BF33" s="32"/>
    </row>
    <row r="34" spans="1:58" ht="27" customHeight="1">
      <c r="A34" s="6"/>
      <c r="B34" s="6"/>
      <c r="C34" s="310"/>
      <c r="D34" s="310"/>
      <c r="E34" s="310"/>
      <c r="F34" s="310"/>
      <c r="G34" s="12"/>
      <c r="H34" s="1"/>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
      <c r="AL34" s="6"/>
      <c r="AM34" s="6"/>
      <c r="AN34" s="1"/>
      <c r="AO34" s="1"/>
      <c r="AP34" s="1"/>
      <c r="AQ34" s="1"/>
      <c r="AR34" s="1"/>
      <c r="AS34" s="1"/>
      <c r="AT34" s="1"/>
      <c r="AU34" s="1"/>
      <c r="AV34" s="1"/>
      <c r="AW34" s="1"/>
      <c r="AX34" s="1"/>
      <c r="AY34" s="1"/>
      <c r="AZ34" s="1"/>
      <c r="BA34" s="30"/>
      <c r="BB34" s="31"/>
      <c r="BC34" s="32"/>
      <c r="BD34" s="32"/>
      <c r="BE34" s="32"/>
      <c r="BF34" s="32"/>
    </row>
    <row r="35" spans="1:58" ht="27" customHeight="1">
      <c r="A35" s="6"/>
      <c r="B35" s="6"/>
      <c r="C35" s="6"/>
      <c r="D35" s="6"/>
      <c r="E35" s="6"/>
      <c r="F35" s="11"/>
      <c r="G35" s="11"/>
      <c r="H35" s="3"/>
      <c r="I35" s="308"/>
      <c r="J35" s="308"/>
      <c r="K35" s="308"/>
      <c r="L35" s="308"/>
      <c r="M35" s="308"/>
      <c r="N35" s="308"/>
      <c r="O35" s="308"/>
      <c r="P35" s="308"/>
      <c r="Q35" s="308"/>
      <c r="R35" s="308"/>
      <c r="S35" s="308"/>
      <c r="T35" s="308"/>
      <c r="U35" s="309"/>
      <c r="V35" s="308"/>
      <c r="W35" s="308"/>
      <c r="X35" s="308"/>
      <c r="Y35" s="308"/>
      <c r="Z35" s="308"/>
      <c r="AA35" s="308"/>
      <c r="AB35" s="308"/>
      <c r="AC35" s="308"/>
      <c r="AD35" s="308"/>
      <c r="AE35" s="308"/>
      <c r="AF35" s="308"/>
      <c r="AG35" s="308"/>
      <c r="AH35" s="308"/>
      <c r="AI35" s="308"/>
      <c r="AJ35" s="308"/>
      <c r="AK35" s="30"/>
      <c r="AL35" s="6"/>
      <c r="AM35" s="6"/>
      <c r="AN35" s="1"/>
      <c r="AO35" s="1"/>
      <c r="AP35" s="1"/>
      <c r="AQ35" s="1"/>
      <c r="AR35" s="1"/>
      <c r="AS35" s="1"/>
      <c r="AT35" s="1"/>
      <c r="AU35" s="1"/>
      <c r="AV35" s="1"/>
      <c r="AW35" s="1"/>
      <c r="AX35" s="1"/>
      <c r="AY35" s="1"/>
      <c r="AZ35" s="1"/>
      <c r="BA35" s="30"/>
      <c r="BB35" s="31"/>
      <c r="BC35" s="32"/>
      <c r="BD35" s="32"/>
      <c r="BE35" s="32"/>
      <c r="BF35" s="32"/>
    </row>
    <row r="36" spans="1:58" ht="27" customHeight="1">
      <c r="C36" s="6"/>
      <c r="D36" s="6"/>
      <c r="E36" s="6"/>
      <c r="F36" s="6"/>
      <c r="G36" s="6"/>
      <c r="H36" s="1"/>
      <c r="I36" s="1"/>
      <c r="J36" s="1"/>
      <c r="K36" s="1"/>
      <c r="L36" s="1"/>
      <c r="M36" s="1"/>
      <c r="N36" s="1"/>
      <c r="O36" s="1"/>
      <c r="P36" s="1"/>
      <c r="Q36" s="1"/>
      <c r="R36" s="1"/>
      <c r="S36" s="1"/>
      <c r="T36" s="1"/>
      <c r="U36" s="30"/>
      <c r="V36" s="6"/>
      <c r="W36" s="6"/>
      <c r="X36" s="1"/>
      <c r="Y36" s="1"/>
      <c r="Z36" s="1"/>
      <c r="AA36" s="1"/>
      <c r="AB36" s="1"/>
      <c r="AC36" s="1"/>
      <c r="AD36" s="1"/>
      <c r="AE36" s="1"/>
      <c r="AF36" s="1"/>
      <c r="AG36" s="1"/>
      <c r="AH36" s="1"/>
      <c r="AI36" s="1"/>
      <c r="AJ36" s="1"/>
      <c r="AK36" s="30"/>
      <c r="AL36" s="6"/>
      <c r="AM36" s="6"/>
      <c r="AN36" s="1"/>
      <c r="AO36" s="1"/>
      <c r="AP36" s="1"/>
      <c r="AQ36" s="1"/>
      <c r="AR36" s="1"/>
      <c r="AS36" s="1"/>
      <c r="AT36" s="1"/>
      <c r="AU36" s="1"/>
      <c r="AV36" s="1"/>
      <c r="AW36" s="1"/>
      <c r="AX36" s="1"/>
      <c r="AY36" s="1"/>
      <c r="AZ36" s="1"/>
      <c r="BA36" s="30"/>
      <c r="BB36" s="31"/>
      <c r="BC36" s="32"/>
      <c r="BD36" s="32"/>
      <c r="BE36" s="32"/>
      <c r="BF36" s="32"/>
    </row>
    <row r="37" spans="1:58" ht="27" customHeight="1">
      <c r="C37" s="6"/>
      <c r="D37" s="6"/>
      <c r="E37" s="6"/>
      <c r="F37" s="6"/>
      <c r="G37" s="6"/>
      <c r="H37" s="1"/>
      <c r="I37" s="1"/>
      <c r="J37" s="1"/>
      <c r="K37" s="1"/>
      <c r="L37" s="1"/>
      <c r="M37" s="1"/>
      <c r="N37" s="1"/>
      <c r="O37" s="1"/>
      <c r="P37" s="1"/>
      <c r="Q37" s="1"/>
      <c r="R37" s="1"/>
      <c r="S37" s="1"/>
      <c r="T37" s="1"/>
      <c r="U37" s="30"/>
      <c r="V37" s="6"/>
      <c r="W37" s="6"/>
      <c r="X37" s="1"/>
      <c r="Y37" s="1"/>
      <c r="Z37" s="1"/>
      <c r="AA37" s="1"/>
      <c r="AB37" s="1"/>
      <c r="AC37" s="1"/>
      <c r="AD37" s="1"/>
      <c r="AE37" s="1"/>
      <c r="AF37" s="1"/>
      <c r="AG37" s="1"/>
      <c r="AH37" s="1"/>
      <c r="AI37" s="1"/>
      <c r="AJ37" s="1"/>
      <c r="AK37" s="30"/>
      <c r="AL37" s="6"/>
      <c r="AM37" s="6"/>
      <c r="AN37" s="1"/>
      <c r="AO37" s="1"/>
      <c r="AP37" s="1"/>
      <c r="AQ37" s="1"/>
      <c r="AR37" s="1"/>
      <c r="AS37" s="1"/>
      <c r="AT37" s="1"/>
      <c r="AU37" s="1"/>
      <c r="AV37" s="1"/>
      <c r="AW37" s="1"/>
      <c r="AX37" s="1"/>
      <c r="AY37" s="1"/>
      <c r="AZ37" s="1"/>
      <c r="BA37" s="30"/>
      <c r="BB37" s="31"/>
      <c r="BC37" s="32"/>
      <c r="BD37" s="32"/>
      <c r="BE37" s="32"/>
      <c r="BF37" s="32"/>
    </row>
    <row r="38" spans="1:58" ht="27" customHeight="1">
      <c r="C38" s="6"/>
      <c r="D38" s="6"/>
      <c r="E38" s="6"/>
      <c r="F38" s="6"/>
      <c r="G38" s="6"/>
      <c r="H38" s="1"/>
      <c r="I38" s="1"/>
      <c r="J38" s="1"/>
      <c r="K38" s="1"/>
      <c r="L38" s="1"/>
      <c r="M38" s="1"/>
      <c r="N38" s="1"/>
      <c r="O38" s="1"/>
      <c r="P38" s="1"/>
      <c r="Q38" s="1"/>
      <c r="R38" s="1"/>
      <c r="S38" s="1"/>
      <c r="T38" s="1"/>
      <c r="U38" s="30"/>
      <c r="V38" s="6"/>
      <c r="W38" s="6"/>
      <c r="X38" s="1"/>
      <c r="Y38" s="1"/>
      <c r="Z38" s="1"/>
      <c r="AA38" s="1"/>
      <c r="AB38" s="1"/>
      <c r="AC38" s="1"/>
      <c r="AD38" s="1"/>
      <c r="AE38" s="1"/>
      <c r="AF38" s="1"/>
      <c r="AG38" s="1"/>
      <c r="AH38" s="1"/>
      <c r="AI38" s="1"/>
      <c r="AJ38" s="1"/>
      <c r="AK38" s="30"/>
      <c r="AL38" s="6"/>
      <c r="AM38" s="6"/>
      <c r="AN38" s="1"/>
      <c r="AO38" s="1"/>
      <c r="AP38" s="1"/>
      <c r="AQ38" s="1"/>
      <c r="AR38" s="1"/>
      <c r="AS38" s="1"/>
      <c r="AT38" s="1"/>
      <c r="AU38" s="1"/>
      <c r="AV38" s="1"/>
      <c r="AW38" s="1"/>
      <c r="AX38" s="1"/>
      <c r="AY38" s="1"/>
      <c r="AZ38" s="1"/>
      <c r="BA38" s="30"/>
      <c r="BB38" s="31"/>
      <c r="BC38" s="32"/>
      <c r="BD38" s="32"/>
      <c r="BE38" s="32"/>
      <c r="BF38" s="32"/>
    </row>
    <row r="39" spans="1:58" ht="27" customHeight="1">
      <c r="C39" s="6"/>
      <c r="D39" s="6"/>
      <c r="E39" s="6"/>
      <c r="F39" s="6"/>
      <c r="G39" s="6"/>
      <c r="H39" s="1"/>
      <c r="I39" s="1"/>
      <c r="J39" s="1"/>
      <c r="K39" s="1"/>
      <c r="L39" s="1"/>
      <c r="M39" s="1"/>
      <c r="N39" s="1"/>
      <c r="O39" s="1"/>
      <c r="P39" s="1"/>
      <c r="Q39" s="1"/>
      <c r="R39" s="1"/>
      <c r="S39" s="1"/>
      <c r="T39" s="1"/>
      <c r="U39" s="30"/>
      <c r="V39" s="6"/>
      <c r="W39" s="6"/>
      <c r="X39" s="1"/>
      <c r="Y39" s="1"/>
      <c r="Z39" s="1"/>
      <c r="AA39" s="1"/>
      <c r="AB39" s="1"/>
      <c r="AC39" s="1"/>
      <c r="AD39" s="1"/>
      <c r="AE39" s="1"/>
      <c r="AF39" s="1"/>
      <c r="AG39" s="1"/>
      <c r="AH39" s="1"/>
      <c r="AI39" s="1"/>
      <c r="AJ39" s="1"/>
      <c r="AK39" s="30"/>
      <c r="AL39" s="6"/>
      <c r="AM39" s="6"/>
      <c r="AN39" s="1"/>
      <c r="AO39" s="1"/>
      <c r="AP39" s="1"/>
      <c r="AQ39" s="1"/>
      <c r="AR39" s="1"/>
      <c r="AS39" s="1"/>
      <c r="AT39" s="1"/>
      <c r="AU39" s="1"/>
      <c r="AV39" s="1"/>
      <c r="AW39" s="1"/>
      <c r="AX39" s="1"/>
      <c r="AY39" s="1"/>
      <c r="AZ39" s="1"/>
      <c r="BA39" s="30"/>
      <c r="BB39" s="31"/>
      <c r="BC39" s="32"/>
      <c r="BD39" s="32"/>
      <c r="BE39" s="32"/>
      <c r="BF39" s="32"/>
    </row>
    <row r="40" spans="1:58" ht="15.75">
      <c r="C40" s="6"/>
      <c r="D40" s="6"/>
      <c r="E40" s="6"/>
      <c r="F40" s="6"/>
      <c r="G40" s="6"/>
      <c r="H40" s="1"/>
      <c r="I40" s="1"/>
      <c r="J40" s="1"/>
      <c r="K40" s="1"/>
      <c r="L40" s="1"/>
      <c r="M40" s="1"/>
      <c r="N40" s="1"/>
      <c r="O40" s="1"/>
      <c r="P40" s="1"/>
      <c r="Q40" s="1"/>
      <c r="R40" s="1"/>
      <c r="S40" s="1"/>
      <c r="T40" s="1"/>
      <c r="U40" s="30"/>
      <c r="V40" s="6"/>
      <c r="W40" s="6"/>
      <c r="X40" s="1"/>
      <c r="Y40" s="1"/>
      <c r="Z40" s="1"/>
      <c r="AA40" s="1"/>
      <c r="AB40" s="1"/>
      <c r="AC40" s="1"/>
      <c r="AD40" s="1"/>
      <c r="AE40" s="1"/>
      <c r="AF40" s="1"/>
      <c r="AG40" s="1"/>
      <c r="AH40" s="1"/>
      <c r="AI40" s="1"/>
      <c r="AJ40" s="1"/>
      <c r="AK40" s="30"/>
      <c r="AL40" s="6"/>
      <c r="AM40" s="6"/>
      <c r="AN40" s="1"/>
      <c r="AO40" s="1"/>
      <c r="AP40" s="1"/>
      <c r="AQ40" s="1"/>
      <c r="AR40" s="1"/>
      <c r="AS40" s="1"/>
      <c r="AT40" s="1"/>
      <c r="AU40" s="1"/>
      <c r="AV40" s="1"/>
      <c r="AW40" s="1"/>
      <c r="AX40" s="1"/>
      <c r="AY40" s="1"/>
      <c r="AZ40" s="1"/>
      <c r="BA40" s="30"/>
      <c r="BB40" s="31"/>
      <c r="BC40" s="32"/>
      <c r="BD40" s="32"/>
      <c r="BE40" s="32"/>
      <c r="BF40" s="32"/>
    </row>
    <row r="41" spans="1:58" ht="15.75">
      <c r="C41" s="6"/>
      <c r="D41" s="6"/>
      <c r="E41" s="6"/>
      <c r="F41" s="6"/>
      <c r="G41" s="6"/>
      <c r="H41" s="1"/>
      <c r="I41" s="1"/>
      <c r="J41" s="1"/>
      <c r="K41" s="1"/>
      <c r="L41" s="1"/>
      <c r="M41" s="1"/>
      <c r="N41" s="1"/>
      <c r="O41" s="1"/>
      <c r="P41" s="1"/>
      <c r="Q41" s="1"/>
      <c r="R41" s="1"/>
      <c r="S41" s="1"/>
      <c r="T41" s="1"/>
      <c r="U41" s="30"/>
      <c r="V41" s="6"/>
      <c r="W41" s="6"/>
      <c r="X41" s="1"/>
      <c r="Y41" s="1"/>
      <c r="Z41" s="1"/>
      <c r="AA41" s="1"/>
      <c r="AB41" s="1"/>
      <c r="AC41" s="1"/>
      <c r="AD41" s="1"/>
      <c r="AE41" s="1"/>
      <c r="AF41" s="1"/>
      <c r="AG41" s="1"/>
      <c r="AH41" s="1"/>
      <c r="AI41" s="1"/>
      <c r="AJ41" s="1"/>
      <c r="AK41" s="30"/>
      <c r="AL41" s="6"/>
      <c r="AM41" s="6"/>
      <c r="AN41" s="1"/>
      <c r="AO41" s="1"/>
      <c r="AP41" s="1"/>
      <c r="AQ41" s="1"/>
      <c r="AR41" s="1"/>
      <c r="AS41" s="1"/>
      <c r="AT41" s="1"/>
      <c r="AU41" s="1"/>
      <c r="AV41" s="1"/>
      <c r="AW41" s="1"/>
      <c r="AX41" s="1"/>
      <c r="AY41" s="1"/>
      <c r="AZ41" s="1"/>
      <c r="BA41" s="30"/>
      <c r="BB41" s="31"/>
      <c r="BC41" s="32"/>
      <c r="BD41" s="32"/>
      <c r="BE41" s="32"/>
      <c r="BF41" s="32"/>
    </row>
  </sheetData>
  <mergeCells count="61">
    <mergeCell ref="BE3:BE6"/>
    <mergeCell ref="BF3:BF6"/>
    <mergeCell ref="I35:U35"/>
    <mergeCell ref="V35:AJ35"/>
    <mergeCell ref="C33:F33"/>
    <mergeCell ref="I33:U33"/>
    <mergeCell ref="V33:AJ33"/>
    <mergeCell ref="C34:F34"/>
    <mergeCell ref="I34:U34"/>
    <mergeCell ref="V34:AJ34"/>
    <mergeCell ref="C31:F31"/>
    <mergeCell ref="I31:U31"/>
    <mergeCell ref="V31:AJ31"/>
    <mergeCell ref="C32:F32"/>
    <mergeCell ref="I32:U32"/>
    <mergeCell ref="V32:AJ32"/>
    <mergeCell ref="C29:F29"/>
    <mergeCell ref="I29:U29"/>
    <mergeCell ref="V29:AJ29"/>
    <mergeCell ref="C30:F30"/>
    <mergeCell ref="I30:U30"/>
    <mergeCell ref="V30:AJ30"/>
    <mergeCell ref="C26:F26"/>
    <mergeCell ref="I26:U26"/>
    <mergeCell ref="I27:U27"/>
    <mergeCell ref="V27:AJ27"/>
    <mergeCell ref="I28:U28"/>
    <mergeCell ref="V28:AJ28"/>
    <mergeCell ref="C24:F24"/>
    <mergeCell ref="I24:U24"/>
    <mergeCell ref="U5:U6"/>
    <mergeCell ref="V5:V6"/>
    <mergeCell ref="W5:W6"/>
    <mergeCell ref="C25:F25"/>
    <mergeCell ref="I25:U25"/>
    <mergeCell ref="AL4:BA4"/>
    <mergeCell ref="F3:BA3"/>
    <mergeCell ref="BB3:BB6"/>
    <mergeCell ref="AL5:AL6"/>
    <mergeCell ref="AM5:AM6"/>
    <mergeCell ref="AN5:AN6"/>
    <mergeCell ref="A1:BC1"/>
    <mergeCell ref="A2:BC2"/>
    <mergeCell ref="A3:A6"/>
    <mergeCell ref="B3:B6"/>
    <mergeCell ref="C3:E4"/>
    <mergeCell ref="X5:X6"/>
    <mergeCell ref="Y5:AJ5"/>
    <mergeCell ref="AK5:AK6"/>
    <mergeCell ref="AO5:AZ5"/>
    <mergeCell ref="BA5:BA6"/>
    <mergeCell ref="BC3:BD5"/>
    <mergeCell ref="H5:H6"/>
    <mergeCell ref="I5:T5"/>
    <mergeCell ref="C5:C6"/>
    <mergeCell ref="D5:D6"/>
    <mergeCell ref="E5:E6"/>
    <mergeCell ref="F5:F6"/>
    <mergeCell ref="G5:G6"/>
    <mergeCell ref="F4:U4"/>
    <mergeCell ref="V4:AK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Ket qua TH Chi tieu 2023-2024</vt:lpstr>
      <vt:lpstr>KCB chung </vt:lpstr>
      <vt:lpstr>KCB người nghèo</vt:lpstr>
      <vt:lpstr>KCB trẻ &lt; 6 tuổi</vt:lpstr>
      <vt:lpstr>Ước 12 tháng (ước t11,t12)</vt:lpstr>
    </vt:vector>
  </TitlesOfParts>
  <Company>&lt;egyptian hak&gt;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2024-01-08T07:24:17Z</cp:lastPrinted>
  <dcterms:created xsi:type="dcterms:W3CDTF">2013-03-01T00:44:12Z</dcterms:created>
  <dcterms:modified xsi:type="dcterms:W3CDTF">2024-01-17T22:45:15Z</dcterms:modified>
</cp:coreProperties>
</file>