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970" windowHeight="6525" firstSheet="11" activeTab="11"/>
  </bookViews>
  <sheets>
    <sheet name="Báo cáo tháng" sheetId="5" state="hidden" r:id="rId1"/>
    <sheet name="Sheet1" sheetId="11" state="hidden" r:id="rId2"/>
    <sheet name="Báo cáo năm" sheetId="3" state="hidden" r:id="rId3"/>
    <sheet name="Báo cáo chính thức" sheetId="4" state="hidden" r:id="rId4"/>
    <sheet name="Báo cáo 6 tháng" sheetId="6" state="hidden" r:id="rId5"/>
    <sheet name="Kangatang" sheetId="16" state="veryHidden" r:id="rId6"/>
    <sheet name="Kangatang_2" sheetId="17" state="veryHidden" r:id="rId7"/>
    <sheet name="Kangatang_3" sheetId="18" state="veryHidden" r:id="rId8"/>
    <sheet name="Kangatang_4" sheetId="19" state="veryHidden" r:id="rId9"/>
    <sheet name="Kangatang_5" sheetId="20" state="veryHidden" r:id="rId10"/>
    <sheet name="Kangatang_6" sheetId="21" state="veryHidden" r:id="rId11"/>
    <sheet name="Bao cao 6 thang" sheetId="12" r:id="rId12"/>
    <sheet name="KCB Chung " sheetId="13" r:id="rId13"/>
    <sheet name="NN" sheetId="14" r:id="rId14"/>
    <sheet name="TE" sheetId="15" r:id="rId15"/>
    <sheet name="Biểu tổng SKHĐT " sheetId="8" state="hidden" r:id="rId16"/>
    <sheet name="Biểu chi tiết SKHĐT" sheetId="9" state="hidden" r:id="rId17"/>
    <sheet name="Báo cáo 9 tháng " sheetId="10" state="hidden" r:id="rId18"/>
  </sheets>
  <definedNames>
    <definedName name="_xlnm.Print_Titles" localSheetId="0">'Báo cáo tháng'!$5:$6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7" i="13" l="1"/>
  <c r="X8" i="13"/>
  <c r="AM21" i="15"/>
  <c r="AN21" i="15" s="1"/>
  <c r="V21" i="15"/>
  <c r="W21" i="15" s="1"/>
  <c r="E21" i="15"/>
  <c r="F21" i="15" s="1"/>
  <c r="AM20" i="15"/>
  <c r="AN20" i="15" s="1"/>
  <c r="V20" i="15"/>
  <c r="W20" i="15" s="1"/>
  <c r="E20" i="15"/>
  <c r="F20" i="15" s="1"/>
  <c r="AM19" i="15"/>
  <c r="AN19" i="15" s="1"/>
  <c r="V19" i="15"/>
  <c r="W19" i="15" s="1"/>
  <c r="E19" i="15"/>
  <c r="F19" i="15" s="1"/>
  <c r="AM18" i="15"/>
  <c r="AN18" i="15" s="1"/>
  <c r="V18" i="15"/>
  <c r="W18" i="15" s="1"/>
  <c r="E18" i="15"/>
  <c r="F18" i="15" s="1"/>
  <c r="AM17" i="15"/>
  <c r="AN17" i="15" s="1"/>
  <c r="V17" i="15"/>
  <c r="W17" i="15" s="1"/>
  <c r="E17" i="15"/>
  <c r="F17" i="15" s="1"/>
  <c r="AQ16" i="15"/>
  <c r="AN16" i="15"/>
  <c r="AM16" i="15"/>
  <c r="W16" i="15"/>
  <c r="V16" i="15"/>
  <c r="F16" i="15"/>
  <c r="E16" i="15"/>
  <c r="AN15" i="15"/>
  <c r="AM15" i="15"/>
  <c r="W15" i="15"/>
  <c r="V15" i="15"/>
  <c r="F15" i="15"/>
  <c r="E15" i="15"/>
  <c r="AN14" i="15"/>
  <c r="AM14" i="15"/>
  <c r="W14" i="15"/>
  <c r="V14" i="15"/>
  <c r="F14" i="15"/>
  <c r="E14" i="15"/>
  <c r="AZ13" i="15"/>
  <c r="AZ7" i="15" s="1"/>
  <c r="AY13" i="15"/>
  <c r="AX13" i="15"/>
  <c r="AX7" i="15" s="1"/>
  <c r="AW13" i="15"/>
  <c r="AV13" i="15"/>
  <c r="AV7" i="15" s="1"/>
  <c r="AU13" i="15"/>
  <c r="AT13" i="15"/>
  <c r="AT7" i="15" s="1"/>
  <c r="AS13" i="15"/>
  <c r="AR13" i="15"/>
  <c r="AR7" i="15" s="1"/>
  <c r="AQ13" i="15"/>
  <c r="AP13" i="15"/>
  <c r="AP7" i="15" s="1"/>
  <c r="AO13" i="15"/>
  <c r="AL13" i="15"/>
  <c r="AL7" i="15" s="1"/>
  <c r="AK13" i="15"/>
  <c r="AJ13" i="15"/>
  <c r="AJ7" i="15" s="1"/>
  <c r="AI13" i="15"/>
  <c r="AH13" i="15"/>
  <c r="AH7" i="15" s="1"/>
  <c r="AG13" i="15"/>
  <c r="AF13" i="15"/>
  <c r="AF7" i="15" s="1"/>
  <c r="AE13" i="15"/>
  <c r="AD13" i="15"/>
  <c r="AD7" i="15" s="1"/>
  <c r="AC13" i="15"/>
  <c r="AB13" i="15"/>
  <c r="AB7" i="15" s="1"/>
  <c r="AA13" i="15"/>
  <c r="Z13" i="15"/>
  <c r="Y13" i="15"/>
  <c r="X13" i="15"/>
  <c r="X7" i="15" s="1"/>
  <c r="V13" i="15"/>
  <c r="W13" i="15" s="1"/>
  <c r="U13" i="15"/>
  <c r="T13" i="15"/>
  <c r="T7" i="15" s="1"/>
  <c r="S13" i="15"/>
  <c r="R13" i="15"/>
  <c r="R7" i="15" s="1"/>
  <c r="Q13" i="15"/>
  <c r="P13" i="15"/>
  <c r="P7" i="15" s="1"/>
  <c r="O13" i="15"/>
  <c r="N13" i="15"/>
  <c r="N7" i="15" s="1"/>
  <c r="M13" i="15"/>
  <c r="L13" i="15"/>
  <c r="L7" i="15" s="1"/>
  <c r="K13" i="15"/>
  <c r="J13" i="15"/>
  <c r="J7" i="15" s="1"/>
  <c r="I13" i="15"/>
  <c r="H13" i="15"/>
  <c r="H7" i="15" s="1"/>
  <c r="G13" i="15"/>
  <c r="D13" i="15"/>
  <c r="D7" i="15" s="1"/>
  <c r="C13" i="15"/>
  <c r="AN12" i="15"/>
  <c r="AM12" i="15"/>
  <c r="Z12" i="15"/>
  <c r="Z8" i="15" s="1"/>
  <c r="Z7" i="15" s="1"/>
  <c r="V12" i="15"/>
  <c r="W12" i="15" s="1"/>
  <c r="E12" i="15"/>
  <c r="F12" i="15" s="1"/>
  <c r="AM11" i="15"/>
  <c r="AN11" i="15" s="1"/>
  <c r="V11" i="15"/>
  <c r="W11" i="15" s="1"/>
  <c r="E11" i="15"/>
  <c r="F11" i="15" s="1"/>
  <c r="AM10" i="15"/>
  <c r="AN10" i="15" s="1"/>
  <c r="V10" i="15"/>
  <c r="W10" i="15" s="1"/>
  <c r="E10" i="15"/>
  <c r="F10" i="15" s="1"/>
  <c r="AM9" i="15"/>
  <c r="AN9" i="15" s="1"/>
  <c r="V9" i="15"/>
  <c r="W9" i="15" s="1"/>
  <c r="E9" i="15"/>
  <c r="F9" i="15" s="1"/>
  <c r="AZ8" i="15"/>
  <c r="AY8" i="15"/>
  <c r="AX8" i="15"/>
  <c r="AW8" i="15"/>
  <c r="AV8" i="15"/>
  <c r="AU8" i="15"/>
  <c r="AT8" i="15"/>
  <c r="AS8" i="15"/>
  <c r="AR8" i="15"/>
  <c r="AQ8" i="15"/>
  <c r="AP8" i="15"/>
  <c r="AO8" i="15"/>
  <c r="AM8" i="15"/>
  <c r="AN8" i="15" s="1"/>
  <c r="AL8" i="15"/>
  <c r="AK8" i="15"/>
  <c r="AJ8" i="15"/>
  <c r="AI8" i="15"/>
  <c r="AH8" i="15"/>
  <c r="AG8" i="15"/>
  <c r="AF8" i="15"/>
  <c r="AE8" i="15"/>
  <c r="AD8" i="15"/>
  <c r="AC8" i="15"/>
  <c r="AB8" i="15"/>
  <c r="AA8" i="15"/>
  <c r="Y8" i="15"/>
  <c r="X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E8" i="15"/>
  <c r="F8" i="15" s="1"/>
  <c r="D8" i="15"/>
  <c r="C8" i="15"/>
  <c r="AY7" i="15"/>
  <c r="AW7" i="15"/>
  <c r="AU7" i="15"/>
  <c r="AS7" i="15"/>
  <c r="AQ7" i="15"/>
  <c r="AO7" i="15"/>
  <c r="AK7" i="15"/>
  <c r="AI7" i="15"/>
  <c r="AG7" i="15"/>
  <c r="AE7" i="15"/>
  <c r="AC7" i="15"/>
  <c r="AA7" i="15"/>
  <c r="Y7" i="15"/>
  <c r="U7" i="15"/>
  <c r="S7" i="15"/>
  <c r="Q7" i="15"/>
  <c r="O7" i="15"/>
  <c r="M7" i="15"/>
  <c r="K7" i="15"/>
  <c r="I7" i="15"/>
  <c r="G7" i="15"/>
  <c r="C7" i="15"/>
  <c r="AM21" i="14"/>
  <c r="AN21" i="14" s="1"/>
  <c r="V21" i="14"/>
  <c r="W21" i="14" s="1"/>
  <c r="E21" i="14"/>
  <c r="F21" i="14" s="1"/>
  <c r="AM20" i="14"/>
  <c r="AN20" i="14" s="1"/>
  <c r="V20" i="14"/>
  <c r="W20" i="14" s="1"/>
  <c r="E20" i="14"/>
  <c r="F20" i="14" s="1"/>
  <c r="AM19" i="14"/>
  <c r="AN19" i="14" s="1"/>
  <c r="V19" i="14"/>
  <c r="W19" i="14" s="1"/>
  <c r="E19" i="14"/>
  <c r="F19" i="14" s="1"/>
  <c r="AM18" i="14"/>
  <c r="AN18" i="14" s="1"/>
  <c r="V18" i="14"/>
  <c r="W18" i="14" s="1"/>
  <c r="E18" i="14"/>
  <c r="F18" i="14" s="1"/>
  <c r="AM17" i="14"/>
  <c r="AN17" i="14" s="1"/>
  <c r="V17" i="14"/>
  <c r="W17" i="14" s="1"/>
  <c r="E17" i="14"/>
  <c r="F17" i="14" s="1"/>
  <c r="AM16" i="14"/>
  <c r="AN16" i="14" s="1"/>
  <c r="V16" i="14"/>
  <c r="W16" i="14" s="1"/>
  <c r="E16" i="14"/>
  <c r="F16" i="14" s="1"/>
  <c r="AM15" i="14"/>
  <c r="AN15" i="14" s="1"/>
  <c r="V15" i="14"/>
  <c r="W15" i="14" s="1"/>
  <c r="E15" i="14"/>
  <c r="F15" i="14" s="1"/>
  <c r="AM14" i="14"/>
  <c r="AN14" i="14" s="1"/>
  <c r="V14" i="14"/>
  <c r="W14" i="14" s="1"/>
  <c r="E14" i="14"/>
  <c r="F14" i="14" s="1"/>
  <c r="AZ13" i="14"/>
  <c r="AY13" i="14"/>
  <c r="AY7" i="14" s="1"/>
  <c r="AX13" i="14"/>
  <c r="AW13" i="14"/>
  <c r="AW7" i="14" s="1"/>
  <c r="AV13" i="14"/>
  <c r="AU13" i="14"/>
  <c r="AU7" i="14" s="1"/>
  <c r="AT13" i="14"/>
  <c r="AS13" i="14"/>
  <c r="AS7" i="14" s="1"/>
  <c r="AR13" i="14"/>
  <c r="AQ13" i="14"/>
  <c r="AQ7" i="14" s="1"/>
  <c r="AP13" i="14"/>
  <c r="AO13" i="14"/>
  <c r="AO7" i="14" s="1"/>
  <c r="AM13" i="14"/>
  <c r="AN13" i="14" s="1"/>
  <c r="AL13" i="14"/>
  <c r="AK13" i="14"/>
  <c r="AK7" i="14" s="1"/>
  <c r="AJ13" i="14"/>
  <c r="AI13" i="14"/>
  <c r="AI7" i="14" s="1"/>
  <c r="AH13" i="14"/>
  <c r="AG13" i="14"/>
  <c r="AG7" i="14" s="1"/>
  <c r="AF13" i="14"/>
  <c r="AE13" i="14"/>
  <c r="AE7" i="14" s="1"/>
  <c r="AD13" i="14"/>
  <c r="AC13" i="14"/>
  <c r="AC7" i="14" s="1"/>
  <c r="AB13" i="14"/>
  <c r="AA13" i="14"/>
  <c r="AA7" i="14" s="1"/>
  <c r="Z13" i="14"/>
  <c r="Y13" i="14"/>
  <c r="Y7" i="14" s="1"/>
  <c r="X13" i="14"/>
  <c r="U13" i="14"/>
  <c r="U7" i="14" s="1"/>
  <c r="T13" i="14"/>
  <c r="S13" i="14"/>
  <c r="S7" i="14" s="1"/>
  <c r="R13" i="14"/>
  <c r="Q13" i="14"/>
  <c r="Q7" i="14" s="1"/>
  <c r="P13" i="14"/>
  <c r="O13" i="14"/>
  <c r="O7" i="14" s="1"/>
  <c r="N13" i="14"/>
  <c r="M13" i="14"/>
  <c r="M7" i="14" s="1"/>
  <c r="L13" i="14"/>
  <c r="K13" i="14"/>
  <c r="K7" i="14" s="1"/>
  <c r="J13" i="14"/>
  <c r="I13" i="14"/>
  <c r="I7" i="14" s="1"/>
  <c r="H13" i="14"/>
  <c r="G13" i="14"/>
  <c r="G7" i="14" s="1"/>
  <c r="E13" i="14"/>
  <c r="F13" i="14" s="1"/>
  <c r="D13" i="14"/>
  <c r="C13" i="14"/>
  <c r="C7" i="14" s="1"/>
  <c r="AM12" i="14"/>
  <c r="AN12" i="14" s="1"/>
  <c r="Z12" i="14"/>
  <c r="W12" i="14"/>
  <c r="V12" i="14"/>
  <c r="F12" i="14"/>
  <c r="E12" i="14"/>
  <c r="AN11" i="14"/>
  <c r="AM11" i="14"/>
  <c r="W11" i="14"/>
  <c r="V11" i="14"/>
  <c r="F11" i="14"/>
  <c r="E11" i="14"/>
  <c r="AN10" i="14"/>
  <c r="AM10" i="14"/>
  <c r="W10" i="14"/>
  <c r="V10" i="14"/>
  <c r="F10" i="14"/>
  <c r="E10" i="14"/>
  <c r="AN9" i="14"/>
  <c r="AM9" i="14"/>
  <c r="AB9" i="14"/>
  <c r="V9" i="14" s="1"/>
  <c r="AA9" i="14"/>
  <c r="F9" i="14"/>
  <c r="E9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AZ7" i="14"/>
  <c r="AX7" i="14"/>
  <c r="AV7" i="14"/>
  <c r="AT7" i="14"/>
  <c r="AR7" i="14"/>
  <c r="AP7" i="14"/>
  <c r="AL7" i="14"/>
  <c r="AJ7" i="14"/>
  <c r="AH7" i="14"/>
  <c r="AF7" i="14"/>
  <c r="AD7" i="14"/>
  <c r="AB7" i="14"/>
  <c r="Z7" i="14"/>
  <c r="X7" i="14"/>
  <c r="T7" i="14"/>
  <c r="R7" i="14"/>
  <c r="P7" i="14"/>
  <c r="N7" i="14"/>
  <c r="L7" i="14"/>
  <c r="J7" i="14"/>
  <c r="H7" i="14"/>
  <c r="D7" i="14"/>
  <c r="BH21" i="13"/>
  <c r="BD21" i="13"/>
  <c r="BC21" i="13"/>
  <c r="AN21" i="13"/>
  <c r="AM21" i="13"/>
  <c r="X21" i="13"/>
  <c r="W21" i="13"/>
  <c r="BE21" i="13" s="1"/>
  <c r="H21" i="13"/>
  <c r="G21" i="13"/>
  <c r="BH20" i="13"/>
  <c r="BD20" i="13"/>
  <c r="BC20" i="13"/>
  <c r="AN20" i="13"/>
  <c r="AM20" i="13"/>
  <c r="X20" i="13"/>
  <c r="W20" i="13"/>
  <c r="BE20" i="13" s="1"/>
  <c r="H20" i="13"/>
  <c r="G20" i="13"/>
  <c r="BH19" i="13"/>
  <c r="BD19" i="13"/>
  <c r="BC19" i="13"/>
  <c r="AN19" i="13"/>
  <c r="AM19" i="13"/>
  <c r="X19" i="13"/>
  <c r="W19" i="13"/>
  <c r="BE19" i="13" s="1"/>
  <c r="H19" i="13"/>
  <c r="G19" i="13"/>
  <c r="BH18" i="13"/>
  <c r="BD18" i="13"/>
  <c r="BC18" i="13"/>
  <c r="AN18" i="13"/>
  <c r="AM18" i="13"/>
  <c r="X18" i="13"/>
  <c r="W18" i="13"/>
  <c r="BE18" i="13" s="1"/>
  <c r="H18" i="13"/>
  <c r="G18" i="13"/>
  <c r="BH17" i="13"/>
  <c r="BD17" i="13"/>
  <c r="BC17" i="13"/>
  <c r="AN17" i="13"/>
  <c r="AM17" i="13"/>
  <c r="X17" i="13"/>
  <c r="W17" i="13"/>
  <c r="BE17" i="13" s="1"/>
  <c r="H17" i="13"/>
  <c r="G17" i="13"/>
  <c r="BH16" i="13"/>
  <c r="BD16" i="13"/>
  <c r="BC16" i="13"/>
  <c r="AN16" i="13"/>
  <c r="AM16" i="13"/>
  <c r="X16" i="13"/>
  <c r="W16" i="13"/>
  <c r="BE16" i="13" s="1"/>
  <c r="H16" i="13"/>
  <c r="G16" i="13"/>
  <c r="BH15" i="13"/>
  <c r="BD15" i="13"/>
  <c r="BC15" i="13"/>
  <c r="AN15" i="13"/>
  <c r="AM15" i="13"/>
  <c r="X15" i="13"/>
  <c r="W15" i="13"/>
  <c r="BE15" i="13" s="1"/>
  <c r="H15" i="13"/>
  <c r="G15" i="13"/>
  <c r="BH14" i="13"/>
  <c r="BD14" i="13"/>
  <c r="BC14" i="13"/>
  <c r="AN14" i="13"/>
  <c r="AM14" i="13"/>
  <c r="X14" i="13"/>
  <c r="W14" i="13"/>
  <c r="BE14" i="13" s="1"/>
  <c r="H14" i="13"/>
  <c r="G14" i="13"/>
  <c r="BG13" i="13"/>
  <c r="BF13" i="13"/>
  <c r="BH13" i="13" s="1"/>
  <c r="BB13" i="13"/>
  <c r="BE13" i="13" s="1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N12" i="13"/>
  <c r="AM12" i="13"/>
  <c r="W12" i="13"/>
  <c r="H12" i="13"/>
  <c r="G12" i="13"/>
  <c r="BH11" i="13"/>
  <c r="BD11" i="13"/>
  <c r="BC11" i="13"/>
  <c r="AN11" i="13"/>
  <c r="AM11" i="13"/>
  <c r="X11" i="13"/>
  <c r="W11" i="13"/>
  <c r="BE11" i="13" s="1"/>
  <c r="H11" i="13"/>
  <c r="G11" i="13"/>
  <c r="BH10" i="13"/>
  <c r="BD10" i="13"/>
  <c r="BC10" i="13"/>
  <c r="AN10" i="13"/>
  <c r="AM10" i="13"/>
  <c r="X10" i="13"/>
  <c r="W10" i="13"/>
  <c r="BE10" i="13" s="1"/>
  <c r="H10" i="13"/>
  <c r="G10" i="13"/>
  <c r="BH9" i="13"/>
  <c r="BD9" i="13"/>
  <c r="BC9" i="13"/>
  <c r="AN9" i="13"/>
  <c r="AM9" i="13"/>
  <c r="X9" i="13"/>
  <c r="W9" i="13"/>
  <c r="BE9" i="13" s="1"/>
  <c r="H9" i="13"/>
  <c r="G9" i="13"/>
  <c r="BG8" i="13"/>
  <c r="BF8" i="13"/>
  <c r="BH8" i="13" s="1"/>
  <c r="BB8" i="13"/>
  <c r="BE8" i="13" s="1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G7" i="13"/>
  <c r="BF7" i="13"/>
  <c r="BH7" i="13" s="1"/>
  <c r="BB7" i="13"/>
  <c r="BE7" i="13" s="1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V8" i="15" l="1"/>
  <c r="E13" i="15"/>
  <c r="AM13" i="15"/>
  <c r="W9" i="14"/>
  <c r="V8" i="14"/>
  <c r="E7" i="14"/>
  <c r="F7" i="14" s="1"/>
  <c r="AM8" i="14"/>
  <c r="V13" i="14"/>
  <c r="W13" i="14" s="1"/>
  <c r="BD7" i="13"/>
  <c r="BD8" i="13"/>
  <c r="BD13" i="13"/>
  <c r="BC8" i="13"/>
  <c r="BC13" i="13"/>
  <c r="G68" i="12"/>
  <c r="F13" i="15" l="1"/>
  <c r="E7" i="15"/>
  <c r="F7" i="15" s="1"/>
  <c r="AN13" i="15"/>
  <c r="AM7" i="15"/>
  <c r="AN7" i="15" s="1"/>
  <c r="V7" i="15"/>
  <c r="W7" i="15" s="1"/>
  <c r="W8" i="15"/>
  <c r="AM7" i="14"/>
  <c r="AN7" i="14" s="1"/>
  <c r="AN8" i="14"/>
  <c r="W8" i="14"/>
  <c r="V7" i="14"/>
  <c r="W7" i="14" s="1"/>
  <c r="H71" i="12"/>
  <c r="T64" i="5" l="1"/>
  <c r="T63" i="5"/>
  <c r="H11" i="12"/>
  <c r="S64" i="5"/>
  <c r="R64" i="5"/>
  <c r="S63" i="5"/>
  <c r="R63" i="5"/>
  <c r="U63" i="5"/>
  <c r="U64" i="5"/>
  <c r="R68" i="5"/>
  <c r="T66" i="5" l="1"/>
  <c r="S66" i="5"/>
  <c r="T67" i="5"/>
  <c r="S67" i="5"/>
  <c r="T52" i="5" l="1"/>
  <c r="S52" i="5"/>
  <c r="T50" i="5"/>
  <c r="T48" i="5"/>
  <c r="T51" i="5"/>
  <c r="S51" i="5"/>
  <c r="P51" i="5"/>
  <c r="M51" i="5"/>
  <c r="J51" i="5"/>
  <c r="S50" i="5"/>
  <c r="S48" i="5"/>
  <c r="T68" i="5"/>
  <c r="S68" i="5"/>
  <c r="R11" i="5" l="1"/>
  <c r="T39" i="5"/>
  <c r="S39" i="5"/>
  <c r="T37" i="5"/>
  <c r="T42" i="5" s="1"/>
  <c r="T43" i="5" s="1"/>
  <c r="S37" i="5"/>
  <c r="S42" i="5" s="1"/>
  <c r="S43" i="5" s="1"/>
  <c r="T27" i="5"/>
  <c r="S27" i="5"/>
  <c r="T56" i="5"/>
  <c r="R56" i="5"/>
  <c r="Q56" i="5"/>
  <c r="P56" i="5"/>
  <c r="S56" i="5"/>
  <c r="G51" i="12"/>
  <c r="F51" i="12"/>
  <c r="Q52" i="5"/>
  <c r="S62" i="5" l="1"/>
  <c r="T62" i="5"/>
  <c r="R61" i="5" l="1"/>
  <c r="R58" i="5"/>
  <c r="R57" i="5"/>
  <c r="R52" i="5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G55" i="12"/>
  <c r="F55" i="12"/>
  <c r="E55" i="12"/>
  <c r="D55" i="12"/>
  <c r="H54" i="12"/>
  <c r="H53" i="12"/>
  <c r="H55" i="12" s="1"/>
  <c r="D51" i="12"/>
  <c r="G50" i="12"/>
  <c r="F50" i="12"/>
  <c r="D50" i="12"/>
  <c r="E38" i="12"/>
  <c r="H36" i="12"/>
  <c r="H41" i="12" s="1"/>
  <c r="G36" i="12"/>
  <c r="F36" i="12"/>
  <c r="E36" i="12"/>
  <c r="D36" i="12"/>
  <c r="H26" i="12"/>
  <c r="G26" i="12"/>
  <c r="F26" i="12"/>
  <c r="E26" i="12"/>
  <c r="D26" i="12"/>
  <c r="H49" i="12"/>
  <c r="G11" i="12"/>
  <c r="G67" i="12" s="1"/>
  <c r="F11" i="12"/>
  <c r="E11" i="12"/>
  <c r="E47" i="12" s="1"/>
  <c r="D11" i="12"/>
  <c r="D47" i="12" l="1"/>
  <c r="D66" i="12"/>
  <c r="D41" i="12"/>
  <c r="E49" i="12"/>
  <c r="F41" i="12"/>
  <c r="G49" i="12"/>
  <c r="H42" i="12"/>
  <c r="E42" i="12"/>
  <c r="G42" i="12"/>
  <c r="E41" i="12"/>
  <c r="G41" i="12"/>
  <c r="D42" i="12"/>
  <c r="F42" i="12"/>
  <c r="F47" i="12"/>
  <c r="D49" i="12"/>
  <c r="F67" i="12"/>
  <c r="G47" i="12"/>
  <c r="F49" i="12"/>
  <c r="Q64" i="5" l="1"/>
  <c r="P64" i="5"/>
  <c r="Q63" i="5"/>
  <c r="P63" i="5"/>
  <c r="Q62" i="5"/>
  <c r="P62" i="5"/>
  <c r="N61" i="5"/>
  <c r="N58" i="5"/>
  <c r="N57" i="5"/>
  <c r="M58" i="5"/>
  <c r="M57" i="5"/>
  <c r="O64" i="5" l="1"/>
  <c r="O63" i="5"/>
  <c r="O62" i="5"/>
  <c r="O61" i="5"/>
  <c r="O58" i="5"/>
  <c r="O57" i="5"/>
  <c r="Q11" i="5"/>
  <c r="P11" i="5"/>
  <c r="O11" i="5"/>
  <c r="O68" i="5" s="1"/>
  <c r="Q51" i="5"/>
  <c r="Q39" i="5"/>
  <c r="Q37" i="5"/>
  <c r="Q42" i="5" s="1"/>
  <c r="Q43" i="5" s="1"/>
  <c r="Q27" i="5"/>
  <c r="P52" i="5"/>
  <c r="P39" i="5"/>
  <c r="P37" i="5" s="1"/>
  <c r="P42" i="5" s="1"/>
  <c r="P43" i="5" s="1"/>
  <c r="P27" i="5"/>
  <c r="O56" i="5"/>
  <c r="O52" i="5"/>
  <c r="O51" i="5"/>
  <c r="O39" i="5"/>
  <c r="O37" i="5"/>
  <c r="O42" i="5" s="1"/>
  <c r="O43" i="5" s="1"/>
  <c r="O27" i="5"/>
  <c r="Q67" i="5" l="1"/>
  <c r="Q68" i="5"/>
  <c r="Q66" i="5"/>
  <c r="O67" i="5"/>
  <c r="P67" i="5"/>
  <c r="P68" i="5"/>
  <c r="P66" i="5"/>
  <c r="O66" i="5"/>
  <c r="L61" i="5" l="1"/>
  <c r="K61" i="5"/>
  <c r="J61" i="5"/>
  <c r="N64" i="5"/>
  <c r="M64" i="5"/>
  <c r="N63" i="5"/>
  <c r="M63" i="5"/>
  <c r="N62" i="5"/>
  <c r="M62" i="5"/>
  <c r="H61" i="5"/>
  <c r="G61" i="5"/>
  <c r="K58" i="5"/>
  <c r="K57" i="5"/>
  <c r="J58" i="5"/>
  <c r="J57" i="5"/>
  <c r="H58" i="5"/>
  <c r="H57" i="5"/>
  <c r="G58" i="5"/>
  <c r="G57" i="5"/>
  <c r="N11" i="5" l="1"/>
  <c r="N67" i="5" l="1"/>
  <c r="N68" i="5"/>
  <c r="N66" i="5"/>
  <c r="N56" i="5"/>
  <c r="L68" i="5" l="1"/>
  <c r="L66" i="5"/>
  <c r="L64" i="5"/>
  <c r="L63" i="5"/>
  <c r="L62" i="5"/>
  <c r="L58" i="5"/>
  <c r="L57" i="5"/>
  <c r="M56" i="5"/>
  <c r="N52" i="5"/>
  <c r="M52" i="5"/>
  <c r="N51" i="5"/>
  <c r="N39" i="5"/>
  <c r="M39" i="5"/>
  <c r="N37" i="5"/>
  <c r="N42" i="5" s="1"/>
  <c r="N43" i="5" s="1"/>
  <c r="M37" i="5"/>
  <c r="N27" i="5"/>
  <c r="M27" i="5"/>
  <c r="L56" i="5"/>
  <c r="L52" i="5"/>
  <c r="L51" i="5"/>
  <c r="L39" i="5"/>
  <c r="L37" i="5" s="1"/>
  <c r="L42" i="5" s="1"/>
  <c r="L43" i="5" s="1"/>
  <c r="L27" i="5"/>
  <c r="M11" i="5"/>
  <c r="L11" i="5"/>
  <c r="L67" i="5" s="1"/>
  <c r="M68" i="5" l="1"/>
  <c r="M66" i="5"/>
  <c r="M67" i="5"/>
  <c r="M42" i="5"/>
  <c r="M43" i="5" s="1"/>
  <c r="K62" i="5" l="1"/>
  <c r="J62" i="5"/>
  <c r="G62" i="5"/>
  <c r="K64" i="5" l="1"/>
  <c r="J64" i="5"/>
  <c r="K63" i="5"/>
  <c r="J63" i="5"/>
  <c r="I64" i="5" l="1"/>
  <c r="I63" i="5"/>
  <c r="I62" i="5"/>
  <c r="K56" i="5"/>
  <c r="J56" i="5"/>
  <c r="I58" i="5"/>
  <c r="I57" i="5"/>
  <c r="I56" i="5"/>
  <c r="K52" i="5"/>
  <c r="J52" i="5"/>
  <c r="K51" i="5"/>
  <c r="K39" i="5"/>
  <c r="J39" i="5"/>
  <c r="K37" i="5"/>
  <c r="J37" i="5"/>
  <c r="J42" i="5" s="1"/>
  <c r="J43" i="5" s="1"/>
  <c r="K27" i="5"/>
  <c r="J27" i="5"/>
  <c r="I52" i="5"/>
  <c r="I51" i="5"/>
  <c r="I39" i="5"/>
  <c r="I37" i="5" s="1"/>
  <c r="I27" i="5"/>
  <c r="K11" i="5"/>
  <c r="K67" i="5" s="1"/>
  <c r="J11" i="5"/>
  <c r="J67" i="5" s="1"/>
  <c r="I11" i="5"/>
  <c r="I67" i="5" s="1"/>
  <c r="I42" i="5" l="1"/>
  <c r="I43" i="5" s="1"/>
  <c r="I66" i="5"/>
  <c r="K66" i="5"/>
  <c r="K68" i="5"/>
  <c r="K42" i="5"/>
  <c r="K43" i="5" s="1"/>
  <c r="I68" i="5"/>
  <c r="J68" i="5"/>
  <c r="J66" i="5"/>
  <c r="H62" i="5"/>
  <c r="H52" i="5" l="1"/>
  <c r="G52" i="5"/>
  <c r="G51" i="5"/>
  <c r="AJ67" i="5"/>
  <c r="AK67" i="5"/>
  <c r="AL67" i="5"/>
  <c r="AM67" i="5"/>
  <c r="H64" i="5"/>
  <c r="G64" i="5"/>
  <c r="F64" i="5"/>
  <c r="H63" i="5"/>
  <c r="G63" i="5"/>
  <c r="E58" i="5"/>
  <c r="E57" i="5"/>
  <c r="F58" i="5"/>
  <c r="F57" i="5"/>
  <c r="H11" i="5" l="1"/>
  <c r="G11" i="5"/>
  <c r="F11" i="5"/>
  <c r="F68" i="5" s="1"/>
  <c r="F67" i="5"/>
  <c r="F62" i="5"/>
  <c r="F56" i="5"/>
  <c r="F52" i="5"/>
  <c r="F49" i="5"/>
  <c r="F50" i="5" s="1"/>
  <c r="F47" i="5"/>
  <c r="F48" i="5" s="1"/>
  <c r="F45" i="5"/>
  <c r="F39" i="5"/>
  <c r="F37" i="5" s="1"/>
  <c r="F42" i="5" s="1"/>
  <c r="F43" i="5" s="1"/>
  <c r="F27" i="5"/>
  <c r="H66" i="5" l="1"/>
  <c r="H67" i="5"/>
  <c r="H68" i="5"/>
  <c r="G67" i="5"/>
  <c r="G66" i="5"/>
  <c r="G68" i="5"/>
  <c r="D58" i="5"/>
  <c r="D57" i="5"/>
  <c r="E64" i="5"/>
  <c r="E63" i="5"/>
  <c r="E62" i="5"/>
  <c r="D64" i="5"/>
  <c r="D63" i="5"/>
  <c r="D62" i="5"/>
  <c r="D56" i="5"/>
  <c r="E52" i="5"/>
  <c r="E51" i="5"/>
  <c r="F51" i="5" s="1"/>
  <c r="D52" i="5"/>
  <c r="D51" i="5"/>
  <c r="D39" i="5"/>
  <c r="D37" i="5" s="1"/>
  <c r="D27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G56" i="5" l="1"/>
  <c r="H51" i="5"/>
  <c r="E56" i="5"/>
  <c r="U11" i="5"/>
  <c r="V11" i="5"/>
  <c r="V67" i="5" s="1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U48" i="5"/>
  <c r="Y48" i="5"/>
  <c r="AC48" i="5"/>
  <c r="AG48" i="5"/>
  <c r="U50" i="5"/>
  <c r="V50" i="5"/>
  <c r="Z50" i="5"/>
  <c r="AD50" i="5"/>
  <c r="AH50" i="5"/>
  <c r="U51" i="5"/>
  <c r="V51" i="5"/>
  <c r="X51" i="5"/>
  <c r="Y51" i="5"/>
  <c r="Z51" i="5"/>
  <c r="AB51" i="5"/>
  <c r="AC51" i="5"/>
  <c r="AE51" i="5"/>
  <c r="AF51" i="5"/>
  <c r="AH51" i="5"/>
  <c r="AI51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W61" i="5"/>
  <c r="Y61" i="5"/>
  <c r="Z61" i="5"/>
  <c r="AC61" i="5"/>
  <c r="AD61" i="5"/>
  <c r="AE61" i="5"/>
  <c r="AF61" i="5"/>
  <c r="AG61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V64" i="5"/>
  <c r="W64" i="5"/>
  <c r="X64" i="5"/>
  <c r="Y64" i="5"/>
  <c r="Z64" i="5"/>
  <c r="AB64" i="5"/>
  <c r="AC64" i="5"/>
  <c r="AD64" i="5"/>
  <c r="AE64" i="5"/>
  <c r="AF64" i="5"/>
  <c r="AG64" i="5"/>
  <c r="AH64" i="5"/>
  <c r="AI64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V68" i="5"/>
  <c r="Z68" i="5"/>
  <c r="AD68" i="5"/>
  <c r="AH68" i="5"/>
  <c r="D11" i="5"/>
  <c r="D67" i="5" s="1"/>
  <c r="E11" i="5"/>
  <c r="E27" i="5"/>
  <c r="G27" i="5"/>
  <c r="H27" i="5"/>
  <c r="E39" i="5"/>
  <c r="E37" i="5" s="1"/>
  <c r="G39" i="5"/>
  <c r="G37" i="5" s="1"/>
  <c r="H39" i="5"/>
  <c r="H37" i="5" s="1"/>
  <c r="G45" i="5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G47" i="5"/>
  <c r="H47" i="5" s="1"/>
  <c r="AJ48" i="5"/>
  <c r="AK48" i="5"/>
  <c r="AL48" i="5"/>
  <c r="AM48" i="5"/>
  <c r="G49" i="5"/>
  <c r="H49" i="5" s="1"/>
  <c r="I49" i="5" s="1"/>
  <c r="AJ50" i="5"/>
  <c r="AK50" i="5"/>
  <c r="AL50" i="5"/>
  <c r="AM50" i="5"/>
  <c r="AJ51" i="5"/>
  <c r="AK51" i="5"/>
  <c r="AL51" i="5"/>
  <c r="AM51" i="5"/>
  <c r="H56" i="5"/>
  <c r="I50" i="5" l="1"/>
  <c r="J49" i="5"/>
  <c r="H48" i="5"/>
  <c r="I47" i="5"/>
  <c r="E48" i="5"/>
  <c r="E68" i="5"/>
  <c r="E66" i="5"/>
  <c r="E67" i="5"/>
  <c r="AH48" i="5"/>
  <c r="AH67" i="5"/>
  <c r="AF48" i="5"/>
  <c r="AF67" i="5"/>
  <c r="AD48" i="5"/>
  <c r="AD67" i="5"/>
  <c r="AB48" i="5"/>
  <c r="AB67" i="5"/>
  <c r="Z48" i="5"/>
  <c r="Z67" i="5"/>
  <c r="X48" i="5"/>
  <c r="X67" i="5"/>
  <c r="G48" i="5"/>
  <c r="AF68" i="5"/>
  <c r="AB68" i="5"/>
  <c r="X68" i="5"/>
  <c r="AF50" i="5"/>
  <c r="AB50" i="5"/>
  <c r="X50" i="5"/>
  <c r="V48" i="5"/>
  <c r="AI48" i="5"/>
  <c r="AI67" i="5"/>
  <c r="AG50" i="5"/>
  <c r="AG67" i="5"/>
  <c r="AE48" i="5"/>
  <c r="AE67" i="5"/>
  <c r="AC50" i="5"/>
  <c r="AC67" i="5"/>
  <c r="AA48" i="5"/>
  <c r="AA67" i="5"/>
  <c r="Y50" i="5"/>
  <c r="Y67" i="5"/>
  <c r="W68" i="5"/>
  <c r="W67" i="5"/>
  <c r="U68" i="5"/>
  <c r="U67" i="5"/>
  <c r="D50" i="5"/>
  <c r="D42" i="5"/>
  <c r="D43" i="5" s="1"/>
  <c r="D48" i="5"/>
  <c r="AI68" i="5"/>
  <c r="AG68" i="5"/>
  <c r="AE68" i="5"/>
  <c r="AC68" i="5"/>
  <c r="AA68" i="5"/>
  <c r="Y68" i="5"/>
  <c r="AI50" i="5"/>
  <c r="AE50" i="5"/>
  <c r="AA50" i="5"/>
  <c r="G50" i="5"/>
  <c r="H50" i="5"/>
  <c r="H42" i="5"/>
  <c r="H43" i="5" s="1"/>
  <c r="G42" i="5"/>
  <c r="G43" i="5" s="1"/>
  <c r="E50" i="5"/>
  <c r="E42" i="5"/>
  <c r="E43" i="5" s="1"/>
  <c r="M43" i="10"/>
  <c r="M48" i="10"/>
  <c r="G60" i="10"/>
  <c r="G59" i="10"/>
  <c r="G55" i="10"/>
  <c r="G54" i="10"/>
  <c r="F55" i="10"/>
  <c r="F54" i="10"/>
  <c r="G64" i="10"/>
  <c r="G63" i="10"/>
  <c r="G62" i="10"/>
  <c r="G58" i="10"/>
  <c r="G57" i="10"/>
  <c r="F60" i="10"/>
  <c r="F59" i="10"/>
  <c r="F58" i="10"/>
  <c r="F57" i="10"/>
  <c r="I48" i="5" l="1"/>
  <c r="J47" i="5"/>
  <c r="K49" i="5"/>
  <c r="J50" i="5"/>
  <c r="H48" i="10"/>
  <c r="G48" i="10"/>
  <c r="G47" i="10"/>
  <c r="G45" i="10"/>
  <c r="F48" i="10"/>
  <c r="H53" i="10"/>
  <c r="F53" i="10"/>
  <c r="E53" i="10"/>
  <c r="G49" i="10"/>
  <c r="F49" i="10"/>
  <c r="E48" i="10"/>
  <c r="E36" i="10"/>
  <c r="E34" i="10" s="1"/>
  <c r="H25" i="10"/>
  <c r="G25" i="10"/>
  <c r="F11" i="10"/>
  <c r="E11" i="10"/>
  <c r="E45" i="10" s="1"/>
  <c r="D11" i="10"/>
  <c r="K50" i="5" l="1"/>
  <c r="L49" i="5"/>
  <c r="K47" i="5"/>
  <c r="J48" i="5"/>
  <c r="E39" i="10"/>
  <c r="F64" i="10"/>
  <c r="F62" i="10"/>
  <c r="F63" i="10"/>
  <c r="F45" i="10"/>
  <c r="F47" i="10"/>
  <c r="E40" i="10"/>
  <c r="E47" i="10"/>
  <c r="G44" i="8"/>
  <c r="H67" i="9"/>
  <c r="H66" i="9"/>
  <c r="G66" i="9"/>
  <c r="H65" i="9"/>
  <c r="G65" i="9"/>
  <c r="H64" i="9"/>
  <c r="G64" i="9"/>
  <c r="H62" i="9"/>
  <c r="G62" i="9"/>
  <c r="H61" i="9"/>
  <c r="G61" i="9"/>
  <c r="H60" i="9"/>
  <c r="G60" i="9"/>
  <c r="H59" i="9"/>
  <c r="G59" i="9"/>
  <c r="H57" i="9"/>
  <c r="G57" i="9"/>
  <c r="H56" i="9"/>
  <c r="G56" i="9"/>
  <c r="G55" i="9"/>
  <c r="K48" i="5" l="1"/>
  <c r="L47" i="5"/>
  <c r="M49" i="5"/>
  <c r="L50" i="5"/>
  <c r="I55" i="9"/>
  <c r="F55" i="9"/>
  <c r="F49" i="9"/>
  <c r="F36" i="9"/>
  <c r="F34" i="9" s="1"/>
  <c r="I25" i="9"/>
  <c r="H25" i="9"/>
  <c r="G11" i="9"/>
  <c r="F11" i="9"/>
  <c r="F48" i="9" s="1"/>
  <c r="D11" i="9"/>
  <c r="H43" i="8"/>
  <c r="G43" i="8"/>
  <c r="D44" i="8"/>
  <c r="D43" i="8"/>
  <c r="N49" i="5" l="1"/>
  <c r="M50" i="5"/>
  <c r="L48" i="5"/>
  <c r="M47" i="5"/>
  <c r="F40" i="9"/>
  <c r="F39" i="9"/>
  <c r="F46" i="9"/>
  <c r="N50" i="5" l="1"/>
  <c r="O49" i="5"/>
  <c r="N47" i="5"/>
  <c r="M48" i="5"/>
  <c r="E52" i="6"/>
  <c r="E48" i="6"/>
  <c r="E47" i="6"/>
  <c r="E35" i="6"/>
  <c r="E33" i="6" s="1"/>
  <c r="E10" i="6"/>
  <c r="E44" i="6" s="1"/>
  <c r="D10" i="6"/>
  <c r="A3" i="6"/>
  <c r="N48" i="5" l="1"/>
  <c r="O47" i="5"/>
  <c r="P49" i="5"/>
  <c r="O50" i="5"/>
  <c r="E46" i="6"/>
  <c r="E39" i="6"/>
  <c r="E38" i="6"/>
  <c r="Q49" i="5" l="1"/>
  <c r="Q50" i="5" s="1"/>
  <c r="P50" i="5"/>
  <c r="P47" i="5"/>
  <c r="O48" i="5"/>
  <c r="A3" i="4"/>
  <c r="A28" i="4"/>
  <c r="A28" i="3"/>
  <c r="Q47" i="5" l="1"/>
  <c r="Q48" i="5" s="1"/>
  <c r="P48" i="5"/>
  <c r="A3" i="3"/>
</calcChain>
</file>

<file path=xl/comments1.xml><?xml version="1.0" encoding="utf-8"?>
<comments xmlns="http://schemas.openxmlformats.org/spreadsheetml/2006/main">
  <authors>
    <author>Admin</author>
  </authors>
  <commentList>
    <comment ref="G43" authorId="0">
      <text>
        <r>
          <rPr>
            <sz val="9"/>
            <color indexed="81"/>
            <rFont val="Tahoma"/>
            <family val="2"/>
          </rPr>
          <t>Admin: giảm một xã đạt tiêu chí do sáp nhập xã, Tỷ lệ xã đạt tiêu chí tăng do giảm số xã xuống còn 106 xã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Tỷ lệ này tăng do sáp nhập xã.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H5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giảm 01 xã do sáp nhập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đã thi tốt nghiệp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5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giảm 01 xã do sáp nhập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Đã tốt nghiệp ra trường</t>
        </r>
      </text>
    </comment>
  </commentList>
</comments>
</file>

<file path=xl/sharedStrings.xml><?xml version="1.0" encoding="utf-8"?>
<sst xmlns="http://schemas.openxmlformats.org/spreadsheetml/2006/main" count="1235" uniqueCount="335">
  <si>
    <t>So sánh</t>
  </si>
  <si>
    <t>Nguyên nhân các chỉ tiêu đạt thấp so với cùng kỳ năm trước, hoặc thấp so với KH và dự kiến không đạt kế hoạch</t>
  </si>
  <si>
    <t>Ghi chú</t>
  </si>
  <si>
    <t>Kế hoạch</t>
  </si>
  <si>
    <t>Ước TH cả năm</t>
  </si>
  <si>
    <t>A</t>
  </si>
  <si>
    <t>B</t>
  </si>
  <si>
    <t>C</t>
  </si>
  <si>
    <t>Biểu số 2</t>
  </si>
  <si>
    <t>STT</t>
  </si>
  <si>
    <t xml:space="preserve">Chỉ tiêu </t>
  </si>
  <si>
    <t xml:space="preserve">Đơn vị tính </t>
  </si>
  <si>
    <t>I</t>
  </si>
  <si>
    <t xml:space="preserve">II </t>
  </si>
  <si>
    <t>CÁC CHỈ TIÊU THỰC HIỆN TRONG BÁO CÁO CẢ NĂM, KẾ HOẠCH NĂM SAU</t>
  </si>
  <si>
    <t>CÁC CHỈ TIÊU THỰC HIỆN TRONG BÁO CÁO CHÍNH THỨC</t>
  </si>
  <si>
    <t>Dân số-Kế hoạch hóa gia đình</t>
  </si>
  <si>
    <t>.........</t>
  </si>
  <si>
    <t>Phát triển sự nghiệp y tế</t>
  </si>
  <si>
    <t>......</t>
  </si>
  <si>
    <t>3,6,9 tháng năm trước</t>
  </si>
  <si>
    <t>Lũy kế 2,5,8 tháng đầu năm</t>
  </si>
  <si>
    <t>Ước TH 3,6,9 tháng đầu năm</t>
  </si>
  <si>
    <t xml:space="preserve">Ước TH 3,6,9 tháng năm 2019/TH 3,6,9 tháng năm trước </t>
  </si>
  <si>
    <t>Ước TH 3,6,9 tháng năm 2019/KH năm 2019</t>
  </si>
  <si>
    <t>TH năm trước</t>
  </si>
  <si>
    <t>Lũy kế 11 tháng</t>
  </si>
  <si>
    <t xml:space="preserve">Năm báo cáo </t>
  </si>
  <si>
    <t>Kế hoạch năm sau</t>
  </si>
  <si>
    <t xml:space="preserve">Báo cáo năm </t>
  </si>
  <si>
    <t>Ước TH năm /TH năm trước</t>
  </si>
  <si>
    <t xml:space="preserve">Ước TH năm/KH năm </t>
  </si>
  <si>
    <t xml:space="preserve">số liệu chính thức </t>
  </si>
  <si>
    <t xml:space="preserve">Ghi chú: báo cáo các chỉ tiêu dựa trên Quyết định của Sở Y tế giao hàng năm </t>
  </si>
  <si>
    <t>Biểu số 3</t>
  </si>
  <si>
    <t>Biểu số 4</t>
  </si>
  <si>
    <t xml:space="preserve">CÁC CHỈ TIÊU THỰC HIỆN TRONG BÁO CÁO 3,6,9 THÁNG </t>
  </si>
  <si>
    <t xml:space="preserve">CÁC CHỈ TIÊU THỰC HIỆN TRONG BÁO CÁO THÁNG </t>
  </si>
  <si>
    <t>Tháng 1</t>
  </si>
  <si>
    <t>Lũy kế 2 tháng</t>
  </si>
  <si>
    <t>Tháng 3</t>
  </si>
  <si>
    <t>Tháng 2</t>
  </si>
  <si>
    <t>Lũy kế 3 tháng</t>
  </si>
  <si>
    <t>Tháng 4</t>
  </si>
  <si>
    <t>Lũy kế 4 tháng</t>
  </si>
  <si>
    <t>Tháng 5</t>
  </si>
  <si>
    <t>Lũy kế 5 tháng</t>
  </si>
  <si>
    <t>Tháng 6</t>
  </si>
  <si>
    <t>Lũy kế 6 tháng</t>
  </si>
  <si>
    <t>Tháng 7</t>
  </si>
  <si>
    <t>Tháng 8</t>
  </si>
  <si>
    <t>Tháng 9</t>
  </si>
  <si>
    <t>Tháng 10</t>
  </si>
  <si>
    <t>Tháng 11</t>
  </si>
  <si>
    <t>Tháng 12</t>
  </si>
  <si>
    <t>Lũy kế 7 tháng</t>
  </si>
  <si>
    <t>Lũy kế 8 tháng</t>
  </si>
  <si>
    <t>Lũy kế 9 tháng</t>
  </si>
  <si>
    <t>Lũy kế 10 tháng</t>
  </si>
  <si>
    <t>Lũy kế 12 tháng</t>
  </si>
  <si>
    <t xml:space="preserve">Năm trước </t>
  </si>
  <si>
    <t>Trong tháng</t>
  </si>
  <si>
    <t>Biểu số 1</t>
  </si>
  <si>
    <t xml:space="preserve">  Dân số </t>
  </si>
  <si>
    <t xml:space="preserve"> - Dân số trung bình</t>
  </si>
  <si>
    <t xml:space="preserve"> Trong đó :  </t>
  </si>
  <si>
    <t xml:space="preserve">                + Dân số thành thị</t>
  </si>
  <si>
    <t xml:space="preserve">                + Dân số nông thôn</t>
  </si>
  <si>
    <t xml:space="preserve"> - Dân số là dân tộc thiểu số </t>
  </si>
  <si>
    <t xml:space="preserve"> - Tỷ lệ tăng dân số</t>
  </si>
  <si>
    <t xml:space="preserve"> - Tỷ lệ giảm sinh</t>
  </si>
  <si>
    <t xml:space="preserve"> - Tỷ lệ tăng dân số tự nhiên</t>
  </si>
  <si>
    <t xml:space="preserve"> - Tỷ số giới tính khi sinh (số bé trai so với 100 bé gái)</t>
  </si>
  <si>
    <t xml:space="preserve"> Kế hoạch hoá gia đình</t>
  </si>
  <si>
    <t xml:space="preserve">  - Tỷ lệ các cặp vợ chồng thực hiện các biện pháp tránh thai</t>
  </si>
  <si>
    <t xml:space="preserve"> - Tỷ lệ các bà mẹ sinh con thứ 3 trở lên so với tổng số bà mẹ sinh con trong năm</t>
  </si>
  <si>
    <t>Người</t>
  </si>
  <si>
    <t>%</t>
  </si>
  <si>
    <r>
      <t>%</t>
    </r>
    <r>
      <rPr>
        <i/>
        <sz val="8"/>
        <color theme="1"/>
        <rFont val="Times New Roman"/>
        <family val="1"/>
      </rPr>
      <t>o</t>
    </r>
  </si>
  <si>
    <t>%o</t>
  </si>
  <si>
    <t>Cơ sở y tế và giường bệnh</t>
  </si>
  <si>
    <r>
      <t xml:space="preserve">Số cơ sở y tế quốc lập </t>
    </r>
    <r>
      <rPr>
        <vertAlign val="superscript"/>
        <sz val="8"/>
        <color theme="1"/>
        <rFont val="Times New Roman"/>
        <family val="1"/>
      </rPr>
      <t>(*)</t>
    </r>
  </si>
  <si>
    <t>cơ sở</t>
  </si>
  <si>
    <t>- Bệnh viện đa khoa tỉnh</t>
  </si>
  <si>
    <t>BV</t>
  </si>
  <si>
    <t>- Bệnh viện chuyên khoa</t>
  </si>
  <si>
    <t xml:space="preserve"> -Trung tâm y tế huyện/thành phố</t>
  </si>
  <si>
    <t>TT</t>
  </si>
  <si>
    <t xml:space="preserve"> - Phòng khám đa khoa khu vực</t>
  </si>
  <si>
    <t>PK</t>
  </si>
  <si>
    <t xml:space="preserve"> - Trạm y tế xã/phường/thị trấn</t>
  </si>
  <si>
    <t>Trạm</t>
  </si>
  <si>
    <t>Cơ sở y tế tư nhân</t>
  </si>
  <si>
    <t>Tổng số giường bệnh quốc lập toàn tỉnh</t>
  </si>
  <si>
    <t>Giường</t>
  </si>
  <si>
    <t>- Giường bệnh tuyến tỉnh</t>
  </si>
  <si>
    <t>- Giường bệnh tuyến huyện</t>
  </si>
  <si>
    <t>+ Giường bệnh tại Bệnh viện/Trung tâm y tế huyện</t>
  </si>
  <si>
    <t>Số giường bệnh/10.000 dân (không tính giường trạm y tế xã)</t>
  </si>
  <si>
    <t>Trong đó : Số giường bệnh quốc lập/ 1 vạn dân</t>
  </si>
  <si>
    <t xml:space="preserve"> Giường </t>
  </si>
  <si>
    <t>II</t>
  </si>
  <si>
    <t>Nhân lực y tế</t>
  </si>
  <si>
    <t>Tổng số cán bộ toàn ngành</t>
  </si>
  <si>
    <t xml:space="preserve">Trong đó: </t>
  </si>
  <si>
    <t>1.1</t>
  </si>
  <si>
    <t>Bác sỹ</t>
  </si>
  <si>
    <t>Số bác sỹ/vạn dân</t>
  </si>
  <si>
    <t>1/10,000</t>
  </si>
  <si>
    <t>1.2</t>
  </si>
  <si>
    <t>Dược sỹ đại học</t>
  </si>
  <si>
    <t>Tỷ lệ dược sỹ/vạn dân</t>
  </si>
  <si>
    <t>Tỷ lệ Trạm y tế xã, phường, thị trấn có bác sỹ (biên chế tại trạm)</t>
  </si>
  <si>
    <t>Tỷ lệ thôn, bản có nhân viên y tế thôn bản hoạt động</t>
  </si>
  <si>
    <t>III</t>
  </si>
  <si>
    <t>Một số chỉ tiêu tổng hợp</t>
  </si>
  <si>
    <t xml:space="preserve"> Số xã đạt tiêu chí quốc gia về y tế xã</t>
  </si>
  <si>
    <t>Xã</t>
  </si>
  <si>
    <t>Trong đó: Số được công nhận mới trong năm</t>
  </si>
  <si>
    <t xml:space="preserve"> Tỷ lệ xã đạt tiêu chí quốc gia về y tế xã</t>
  </si>
  <si>
    <t xml:space="preserve"> Tỷ suất tử vong trẻ em &lt;1 tuổi trên 1.000 trẻ đẻ sống </t>
  </si>
  <si>
    <t xml:space="preserve"> %o </t>
  </si>
  <si>
    <t xml:space="preserve"> Tỷ suất tử vong trẻ em &lt;5 tuổi trên 1.000 trẻ đẻ sống </t>
  </si>
  <si>
    <t xml:space="preserve"> Tỷ lệ trẻ em dưới 5 tuổi bị suy dinh dưỡng (cân nặng theo tuổi) </t>
  </si>
  <si>
    <t xml:space="preserve"> % </t>
  </si>
  <si>
    <t xml:space="preserve"> Tỷ suất chết của người mẹ trong thời gian thai sản trên 100.000 trẻ đẻ sống </t>
  </si>
  <si>
    <t>1/1000,000</t>
  </si>
  <si>
    <t xml:space="preserve"> Tỷ lệ TE &lt; 1 tuổi được tiêm chủng đẩy đủ các loại Vacxin</t>
  </si>
  <si>
    <t>Tỷ lệ phụ nữ đẻ được khám thai</t>
  </si>
  <si>
    <t>Tỷ lệ phụ nữ đẻ được cán bộ y tế đỡ</t>
  </si>
  <si>
    <t>Tỷ suất mắc các bệnh xã hội</t>
  </si>
  <si>
    <t xml:space="preserve"> - Sốt rét</t>
  </si>
  <si>
    <t xml:space="preserve"> - Lao</t>
  </si>
  <si>
    <t>1/100.000</t>
  </si>
  <si>
    <t xml:space="preserve"> - HIV/ AIDS</t>
  </si>
  <si>
    <t>Tỷ lệ bao phủ bảo hiểm y tế</t>
  </si>
  <si>
    <t>IV</t>
  </si>
  <si>
    <t xml:space="preserve"> Đào tạo</t>
  </si>
  <si>
    <t>Duy trì đào tạo</t>
  </si>
  <si>
    <t xml:space="preserve"> - Bác sỹ CKI ,II, thạc sỹ</t>
  </si>
  <si>
    <t xml:space="preserve"> - Đại học Y, dược, y tế cộng đồng</t>
  </si>
  <si>
    <t xml:space="preserve"> - Đại học điều dưỡng</t>
  </si>
  <si>
    <t xml:space="preserve"> - Trung cấp y tế</t>
  </si>
  <si>
    <t>Đào tạo mới trong năm</t>
  </si>
  <si>
    <t xml:space="preserve"> - Đào tạo liên thông từ trung cấp lên cao đẳng, đại học tại Trường Trung cấp y tỉnh Lai Châu</t>
  </si>
  <si>
    <t xml:space="preserve"> - Điều trị thay thế các chất dạng thuốc phiện bằng thuốc Methadone</t>
  </si>
  <si>
    <t>Lượt Người</t>
  </si>
  <si>
    <t xml:space="preserve">A </t>
  </si>
  <si>
    <t xml:space="preserve">Dân số </t>
  </si>
  <si>
    <t>Trung tâm KSBT tỉnh</t>
  </si>
  <si>
    <t>+ Giường Phòng khám đa khoa khu vực</t>
  </si>
  <si>
    <t>- Cơ sở 2 huyện Sìn Hồ</t>
  </si>
  <si>
    <t>Năm 2020</t>
  </si>
  <si>
    <t>- Trung tâm KSBT tỉnh</t>
  </si>
  <si>
    <t xml:space="preserve"> - Trung tâm y tế huyện/thành phố</t>
  </si>
  <si>
    <t>Lũy kế 5 tháng đầu năm</t>
  </si>
  <si>
    <t>Ước TH 6 tháng đầu năm</t>
  </si>
  <si>
    <t xml:space="preserve">CÁC CHỈ TIÊU THỰC HIỆN TRONG BÁO CÁO 6 THÁNG </t>
  </si>
  <si>
    <t>(Kèm theo báo cáo số               /BC-SYT ngày        tháng 6 năm 2020 của Sở Y tế Lai Châu)</t>
  </si>
  <si>
    <t>Biểu mẫu số 1</t>
  </si>
  <si>
    <t>CÁC CHỈ TIÊU CHỦ YẾU PHÁT TRIỂN KINH TẾ - XÃ HỘI  6 THÁNG ĐẦU NĂM 2020</t>
  </si>
  <si>
    <t>(Kèm theo Văn bản số       /UBND-TH ngày    tháng 6 năm 2020 của Ủy ban nhân dân tỉnh)</t>
  </si>
  <si>
    <t>TH 6 tháng năm 2019</t>
  </si>
  <si>
    <t>Mục tiêu đến năm 2020 theo Kế hoạch 5 năm 2016-2020 (Quyết định số 33/2015/QĐ-UBND ngày 11/12/2015)</t>
  </si>
  <si>
    <t>Kế hoạch năm 2020</t>
  </si>
  <si>
    <t>Nguyên nhân các chỉ tiêu đạt thấp so với cùng kỳ năm trước hoặc đạt thấp so với kế hoạch và dự kiến không đạt kế hoạch</t>
  </si>
  <si>
    <t xml:space="preserve">Kế hoạch </t>
  </si>
  <si>
    <t>Ước TH 6 tháng năm 2020/TH 6 tháng năm 2019</t>
  </si>
  <si>
    <t>Ước TH 6 tháng năm 2020/KH năm 2020</t>
  </si>
  <si>
    <t>Ước năm 2020/KH năm 2020</t>
  </si>
  <si>
    <t>Ước TH  năm đến 2020/KH 5 năm 2016-2020</t>
  </si>
  <si>
    <t>CHỈ TIÊU KINH TẾ</t>
  </si>
  <si>
    <r>
      <t>Tốc độ tăng trưởng tổng sản phẩm trên địa bàn</t>
    </r>
    <r>
      <rPr>
        <b/>
        <vertAlign val="superscript"/>
        <sz val="12"/>
        <rFont val="Times New Roman"/>
        <family val="1"/>
      </rPr>
      <t xml:space="preserve"> </t>
    </r>
  </si>
  <si>
    <t>10%/năm</t>
  </si>
  <si>
    <t>a</t>
  </si>
  <si>
    <r>
      <t xml:space="preserve">Cơ cấu GRDP theo ngành kinh tế </t>
    </r>
    <r>
      <rPr>
        <i/>
        <sz val="12"/>
        <rFont val="Times New Roman"/>
        <family val="1"/>
      </rPr>
      <t>(giá hiện hành)</t>
    </r>
  </si>
  <si>
    <t>Trong đó:</t>
  </si>
  <si>
    <t>+ Nông, lâm nghiệp, thuỷ sản</t>
  </si>
  <si>
    <t>+ Công nghiệp và xây dựng</t>
  </si>
  <si>
    <t>+ Dịch vụ và thuế trừ trợ cấp</t>
  </si>
  <si>
    <t>b</t>
  </si>
  <si>
    <t xml:space="preserve"> Bình quân GRDP/đầu người/ năm</t>
  </si>
  <si>
    <t>Triệu đồng</t>
  </si>
  <si>
    <t xml:space="preserve"> Tổng sản lượng lương thực có hạt </t>
  </si>
  <si>
    <t>Tấn</t>
  </si>
  <si>
    <r>
      <t xml:space="preserve"> Diện tích cây chè </t>
    </r>
    <r>
      <rPr>
        <b/>
        <vertAlign val="superscript"/>
        <sz val="12"/>
        <rFont val="Times New Roman"/>
        <family val="1"/>
      </rPr>
      <t>(1)</t>
    </r>
  </si>
  <si>
    <t>Ha</t>
  </si>
  <si>
    <t>Trong đó : Diện tích trồng mới</t>
  </si>
  <si>
    <t xml:space="preserve">Tỷ lệ che phủ rừng </t>
  </si>
  <si>
    <r>
      <t xml:space="preserve">Số xã đạt chuẩn nông thôn mới </t>
    </r>
    <r>
      <rPr>
        <b/>
        <vertAlign val="superscript"/>
        <sz val="12"/>
        <rFont val="Times New Roman"/>
        <family val="1"/>
      </rPr>
      <t>(2)</t>
    </r>
  </si>
  <si>
    <t>Trong đó: Số xã đạt chuẩn nông thôn mới trong năm</t>
  </si>
  <si>
    <t>xã</t>
  </si>
  <si>
    <t>Tỷ lệ xã đạt chuẩn nông thôn mới</t>
  </si>
  <si>
    <t>35-40%</t>
  </si>
  <si>
    <t>Thu NSNN trên địa bàn</t>
  </si>
  <si>
    <t>Tỷ đồng</t>
  </si>
  <si>
    <t xml:space="preserve">Giá trị xuất khẩu hàng địa phương </t>
  </si>
  <si>
    <t>Triệu USD</t>
  </si>
  <si>
    <t xml:space="preserve"> CHỈ TIÊU XÃ HỘI </t>
  </si>
  <si>
    <t>Hạ tầng giao thông, cấp điện, cấp nước</t>
  </si>
  <si>
    <t xml:space="preserve"> - Số xã có đường ô tô đến trung tâm xã mặt đường được cứng hóa</t>
  </si>
  <si>
    <t xml:space="preserve"> - Tỷ lệ xã có đường ô tô đến trung tâm xã, mặt đường được cứng hóa</t>
  </si>
  <si>
    <t xml:space="preserve"> - Tỷ lệ thôn, bản có đường xe máy, ô tô đi lại thuận lợi</t>
  </si>
  <si>
    <t>&gt;  90,0</t>
  </si>
  <si>
    <t xml:space="preserve"> - Tỷ lệ hộ được sử dụng điện lưới quốc gia </t>
  </si>
  <si>
    <t>&gt; 95,0</t>
  </si>
  <si>
    <t xml:space="preserve"> - Tỷ lệ dân số đô thị được sử dụng nước sạch</t>
  </si>
  <si>
    <t xml:space="preserve"> - Tỷ lệ dân số nông thôn được sử dụng nước hợp vệ sinh</t>
  </si>
  <si>
    <t>&gt;85,0</t>
  </si>
  <si>
    <t xml:space="preserve">Giáo dục </t>
  </si>
  <si>
    <t xml:space="preserve"> - Giữ vững và nâng cao chất lượng phổ cập giáo dục mầm non cho trẻ 5 tuổi, phổ cập giáo dục tiểu học đúng độ tuổi, phổ cập giáo dục trung học cơ sở</t>
  </si>
  <si>
    <t xml:space="preserve"> - Tỷ lệ trường đạt chuẩn quốc gia</t>
  </si>
  <si>
    <t>Trong đó: + Cấp mầm non</t>
  </si>
  <si>
    <t xml:space="preserve">                + Cấp Tiểu học</t>
  </si>
  <si>
    <t xml:space="preserve">                + Cấp Trung học cơ sở</t>
  </si>
  <si>
    <t xml:space="preserve">                + Cấp Trung học phổ thông</t>
  </si>
  <si>
    <t>- Số trường được công nhận trong năm</t>
  </si>
  <si>
    <t>Trường</t>
  </si>
  <si>
    <t xml:space="preserve">Y tế </t>
  </si>
  <si>
    <t xml:space="preserve"> - Số xã đạt tiêu chí quốc gia về y tế</t>
  </si>
  <si>
    <t xml:space="preserve"> - Tỷ lệ xã đạt tiêu chí quốc gia về y tế</t>
  </si>
  <si>
    <t>&gt; 70%</t>
  </si>
  <si>
    <t xml:space="preserve"> - Số bác sỹ trên vạn dân</t>
  </si>
  <si>
    <t>1/10000</t>
  </si>
  <si>
    <t xml:space="preserve"> - Tỷ lệ giảm sinh bình quân</t>
  </si>
  <si>
    <t>0,5/năm</t>
  </si>
  <si>
    <t>Tỷ lệ trẻ em dưới 5 tuổi bị suy dinh dưỡng (cân nặng theo tuổi)</t>
  </si>
  <si>
    <t>&lt; 20,0%</t>
  </si>
  <si>
    <t xml:space="preserve">Giảm nghèo </t>
  </si>
  <si>
    <t xml:space="preserve"> - Mức giảm tỷ lệ hộ nghèo</t>
  </si>
  <si>
    <t>3-4%/năm</t>
  </si>
  <si>
    <t xml:space="preserve"> +Riêng các huyện nghèo</t>
  </si>
  <si>
    <t xml:space="preserve"> - Số lao động được giải quyết việc làm trong năm</t>
  </si>
  <si>
    <t>&gt; 7000/năm</t>
  </si>
  <si>
    <t xml:space="preserve"> - Số lao động được đào tạo nghề trong năm</t>
  </si>
  <si>
    <t>&gt; 6000/năm</t>
  </si>
  <si>
    <t xml:space="preserve"> - Tỷ lệ lao động qua đào tạo</t>
  </si>
  <si>
    <t>&gt; 50,0%</t>
  </si>
  <si>
    <t xml:space="preserve">Văn hóa </t>
  </si>
  <si>
    <t xml:space="preserve"> - Tỷ lệ hộ gia đình đạt tiêu chuẩn văn hóa</t>
  </si>
  <si>
    <t xml:space="preserve"> - Tỷ lệ thôn, bản, khu phố đạt tiêu chuẩn văn hóa</t>
  </si>
  <si>
    <t xml:space="preserve"> - Tỷ lệ cơ quan, đơn vị, trường học đạt tiêu chuẩn văn hóa</t>
  </si>
  <si>
    <t>chị thủy</t>
  </si>
  <si>
    <t xml:space="preserve">Tỷ lệ tăng do sáp nhập xã </t>
  </si>
  <si>
    <t>Đạt và vượt</t>
  </si>
  <si>
    <t>Đạt</t>
  </si>
  <si>
    <t xml:space="preserve">Đạt </t>
  </si>
  <si>
    <t xml:space="preserve">Ước TH 6 tháng năm 2020/TH 6 tháng năm 2019 </t>
  </si>
  <si>
    <t>Ước TH 6 tháng năm 2020/KH năm 2022</t>
  </si>
  <si>
    <t>Ước TH năm 2020/KH năm 2020</t>
  </si>
  <si>
    <t>&gt;70</t>
  </si>
  <si>
    <t>&lt;20%</t>
  </si>
  <si>
    <t>Tỷ lệ xã có bác sỹ làm việc (bao gồm cả bác sỹ làm việc định kỳ)</t>
  </si>
  <si>
    <t>Số giường bệnh tư nhân/vạn dân</t>
  </si>
  <si>
    <t xml:space="preserve">Không đạt </t>
  </si>
  <si>
    <t>Không đạt</t>
  </si>
  <si>
    <t xml:space="preserve">Do không xây dựng được BV Sản-Nhi, BV phục hồi chức năng và BV tâm thần </t>
  </si>
  <si>
    <t>Do phòng khám tư nhân không có giường bệnh mà chỉ giường lưu bệnh nhân</t>
  </si>
  <si>
    <t xml:space="preserve">Đạt và vượt </t>
  </si>
  <si>
    <t xml:space="preserve">Năm 2018 Bộ Y tế chuyển đổi thay thế một số loại vắc xin cụ như vắc xin Quivaxem (Bạch hầu-Uốn ván-Ho gà-VGB-Hib) do nhà sản xuất Hàn Quốc không cung cấp, do đó từ tháng 9 năm 2018 đến tháng 5 năm 2019 thiếu vác xin để tiêm cho trẻ (thiếu từ Trung ương). Đến năm 2020 do ảnh hưởng của dịch Covid-19 Ngày 31/3/2020 của Viện Vệ sinh Dịch tễ Trung ương có Văn bản số 396/VVSDTTW-TCQG v/v tạm dừng tiêm chủng thường xuyên 15 ngày trong bối cảnh dịch Covid-19. </t>
  </si>
  <si>
    <t>6 tháng năm trước</t>
  </si>
  <si>
    <t>1/100000</t>
  </si>
  <si>
    <t xml:space="preserve">CÁC CHỈ TIÊU THỰC HIỆN TRONG BÁO CÁO 9 THÁNG </t>
  </si>
  <si>
    <t>(Kèm theo báo cáo số               /BC-SYT ngày        tháng 9 năm 2020 của Sở Y tế Lai Châu)</t>
  </si>
  <si>
    <t>9 tháng năm trước</t>
  </si>
  <si>
    <t>Lũy kế 8 tháng đầu năm</t>
  </si>
  <si>
    <t>Ước TH 9 tháng đầu năm</t>
  </si>
  <si>
    <t>số này ko ước</t>
  </si>
  <si>
    <t>- Tuổi thọ trung bình</t>
  </si>
  <si>
    <t>Tuổi</t>
  </si>
  <si>
    <t>Tỷ lệ dân số được quản lý bằng hồ sơ sức khỏe điện tử</t>
  </si>
  <si>
    <t>Tỷ lệ hài lòng của người dân với dịch vụ y tế</t>
  </si>
  <si>
    <t>Chỉ số này 6 tháng mới thực hiện cân đo/ lần</t>
  </si>
  <si>
    <t>trong tháng</t>
  </si>
  <si>
    <t>(Kèm theo báo cáo số               /BC-SYT ngày        tháng   năm 2022 của Sở Y tế Lai Châu)</t>
  </si>
  <si>
    <t>- Dân số là Dân tộc thiểu số</t>
  </si>
  <si>
    <t>Chỉ số này tháng 12 đánh giá</t>
  </si>
  <si>
    <t xml:space="preserve">Đang triển khai thực hiện </t>
  </si>
  <si>
    <t>Tỷ lệ trạm y tế xã được xây dựng kiên cố</t>
  </si>
  <si>
    <t>Không ước</t>
  </si>
  <si>
    <t>Năm 2022</t>
  </si>
  <si>
    <t>Ước TH 3,6,9 tháng năm 2022/KH năm 2022</t>
  </si>
  <si>
    <t>tuổi</t>
  </si>
  <si>
    <t xml:space="preserve"> Tỷ lệ trẻ em dưới 5 tuổi bị suy dinh dưỡng (cao theo tuổi) </t>
  </si>
  <si>
    <t>đang triển khai chưa có số liệu</t>
  </si>
  <si>
    <t xml:space="preserve">Tháng 12 mới đánh giá </t>
  </si>
  <si>
    <t>(Kèm theo báo cáo số               /BC-SYT ngày        tháng 6 năm 2022 của Sở Y tế Lai Châu)</t>
  </si>
  <si>
    <t>Phụ cấp cho đối tượng này thấp nên không thu hút được mọi người tham gia, việc tuyển chọn các đối tượng cho đi học y tế thôn bản gặp nhiều khó khăn họ không đi.</t>
  </si>
  <si>
    <t>Trong 6 tháng giảm 03 bs (trong đó 2 nghỉ hưu 1 xin thôi việc) tổng số bs/vạn dân công lập là 515/484455 đạt 10,63. BS/van dân chung trên địa bàn 557/484455 đạt 11,49</t>
  </si>
  <si>
    <t xml:space="preserve">Hiện chưa tổng hợp được số liệu </t>
  </si>
  <si>
    <t>TH 6 tháng đầu năm</t>
  </si>
  <si>
    <t>KHÁM CHỮA BỆNH CHUNG 6 THÁNG 2022</t>
  </si>
  <si>
    <t>ĐƠN VỊ</t>
  </si>
  <si>
    <t>GIƯỜNG BỆNH</t>
  </si>
  <si>
    <t>KHÁM CHỮA BỆNH CHUNG</t>
  </si>
  <si>
    <t>Ngày điều trị cùng kỳ (2021)</t>
  </si>
  <si>
    <t>Số ngày điều trị nội trú</t>
  </si>
  <si>
    <t>Công suất SDGB theo KH</t>
  </si>
  <si>
    <t>Công suất sử dụng giường bệnh TK</t>
  </si>
  <si>
    <t>Ngày điều trị trung bình</t>
  </si>
  <si>
    <t>Số Danh mục kỹ thuật thực hiện được</t>
  </si>
  <si>
    <t>Số Danh mục kỹ thuật được phê duyệt</t>
  </si>
  <si>
    <t>Đạt % thực hiện DMKT</t>
  </si>
  <si>
    <t>TỔNG SỐ LẦN KHÁM BỆNH 2022</t>
  </si>
  <si>
    <t>ĐIỀU TRỊ NỘI TRÚ</t>
  </si>
  <si>
    <t>ĐIỀU TRỊ NGOẠI TRÚ</t>
  </si>
  <si>
    <t>KH</t>
  </si>
  <si>
    <t>TK</t>
  </si>
  <si>
    <t>Cùng kỳ năm trước</t>
  </si>
  <si>
    <t xml:space="preserve">TH </t>
  </si>
  <si>
    <t>Đạt % năm 2022</t>
  </si>
  <si>
    <t>Trong đó</t>
  </si>
  <si>
    <t>Tổng cộng (I+II)</t>
  </si>
  <si>
    <t>Tuyến tỉnh</t>
  </si>
  <si>
    <t>BVĐK tỉnh</t>
  </si>
  <si>
    <t>BV Phổi</t>
  </si>
  <si>
    <t>BV YHCT</t>
  </si>
  <si>
    <t>Trung tâm KSBT</t>
  </si>
  <si>
    <t>Tuyến huyện</t>
  </si>
  <si>
    <t>TTYT Mường Tè</t>
  </si>
  <si>
    <t>TTYT Sìn Hồ</t>
  </si>
  <si>
    <t>TTYT Phong Thổ</t>
  </si>
  <si>
    <t>TTYT Tam Đường</t>
  </si>
  <si>
    <t>TTYT Than Uyên</t>
  </si>
  <si>
    <t>TTYT Tân Uyên</t>
  </si>
  <si>
    <t>TTYT Thành phố</t>
  </si>
  <si>
    <t>TTYT Nậm Nhùn</t>
  </si>
  <si>
    <t>KHÁM, CHỮA BỆNH NGƯỜI NGHÈO</t>
  </si>
  <si>
    <t>TỔNG SỐ LẦN KHÁM BỆNH NN 2022</t>
  </si>
  <si>
    <t>ĐIỀU TRỊ NỘI TRÚ NN</t>
  </si>
  <si>
    <t>ĐIỀU TRỊ NGOẠI TRÚ NN</t>
  </si>
  <si>
    <t>KHÁM, CHỮA BỆNH TRẺ EM &lt; 6 TUỔI</t>
  </si>
  <si>
    <t>TỔNG SỐ KHÁM BỆNH TE &lt; 6 TUỔI 2022</t>
  </si>
  <si>
    <t>ĐIỀU TRỊ NỘI TRÚ TE &lt; 6 TUỔI</t>
  </si>
  <si>
    <t>ĐIỀU TRỊ NGOẠI TRÚ TE &lt; 6 TUỔI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</si>
</sst>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₫_-;\-* #,##0.00\ _₫_-;_-* &quot;-&quot;??\ _₫_-;_-@_-"/>
    <numFmt numFmtId="164" formatCode="_(* #,##0.00_);_(* \(#,##0.00\);_(* &quot;-&quot;??_);_(@_)"/>
    <numFmt numFmtId="165" formatCode="0.0"/>
    <numFmt numFmtId="166" formatCode="_-* #,##0\ _₫_-;\-* #,##0\ _₫_-;_-* &quot;-&quot;??\ _₫_-;_-@_-"/>
    <numFmt numFmtId="167" formatCode="_-* #,##0.0\ _₫_-;\-* #,##0.0\ _₫_-;_-* &quot;-&quot;??\ _₫_-;_-@_-"/>
    <numFmt numFmtId="168" formatCode="_-* #,##0.00\ _₫_-;\-* #,##0.00\ _₫_-;_-* &quot;-&quot;?\ _₫_-;_-@_-"/>
    <numFmt numFmtId="169" formatCode="0.000"/>
    <numFmt numFmtId="170" formatCode="#,##0;[Red]#,##0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.##0.00_);_(* \(#.##0.00\);_(* &quot;-&quot;??_);_(@_)"/>
  </numFmts>
  <fonts count="56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2"/>
      <name val=".VnTim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  <charset val="163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1"/>
      <name val="Times New Roman"/>
      <family val="1"/>
      <charset val="163"/>
    </font>
    <font>
      <i/>
      <sz val="10"/>
      <name val="Times New Roman"/>
      <family val="1"/>
      <charset val="163"/>
    </font>
    <font>
      <b/>
      <i/>
      <sz val="10"/>
      <name val="Times New Roman"/>
      <family val="1"/>
      <charset val="163"/>
    </font>
    <font>
      <sz val="10"/>
      <name val="Arial"/>
      <family val="2"/>
      <charset val="163"/>
    </font>
    <font>
      <i/>
      <sz val="12"/>
      <name val="Times New Roman"/>
      <family val="1"/>
    </font>
    <font>
      <b/>
      <sz val="8"/>
      <name val="Times New Roman"/>
      <family val="1"/>
      <charset val="163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  <charset val="163"/>
    </font>
    <font>
      <sz val="10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6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rgb="FF0070C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.VnTime"/>
      <family val="2"/>
    </font>
    <font>
      <b/>
      <sz val="9"/>
      <name val="Times New Roman"/>
      <family val="1"/>
    </font>
    <font>
      <b/>
      <sz val="12"/>
      <name val=".VnTime"/>
      <family val="2"/>
    </font>
    <font>
      <i/>
      <sz val="8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sz val="10"/>
      <name val="Calibri"/>
      <family val="2"/>
      <charset val="163"/>
      <scheme val="minor"/>
    </font>
    <font>
      <sz val="10"/>
      <name val="Arial"/>
      <family val="2"/>
    </font>
    <font>
      <b/>
      <u val="singleAccounting"/>
      <sz val="11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" fontId="2" fillId="0" borderId="0"/>
    <xf numFmtId="0" fontId="2" fillId="0" borderId="0"/>
    <xf numFmtId="43" fontId="17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164" fontId="53" fillId="0" borderId="0" applyFont="0" applyFill="0" applyBorder="0" applyAlignment="0" applyProtection="0"/>
  </cellStyleXfs>
  <cellXfs count="731">
    <xf numFmtId="0" fontId="0" fillId="0" borderId="0" xfId="0"/>
    <xf numFmtId="0" fontId="3" fillId="2" borderId="0" xfId="0" applyFont="1" applyFill="1"/>
    <xf numFmtId="1" fontId="8" fillId="2" borderId="0" xfId="3" applyFont="1" applyFill="1"/>
    <xf numFmtId="0" fontId="8" fillId="2" borderId="0" xfId="1" applyNumberFormat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1" applyNumberFormat="1" applyFont="1" applyFill="1"/>
    <xf numFmtId="1" fontId="6" fillId="2" borderId="0" xfId="3" applyFont="1" applyFill="1"/>
    <xf numFmtId="0" fontId="10" fillId="2" borderId="0" xfId="0" applyFont="1" applyFill="1"/>
    <xf numFmtId="0" fontId="12" fillId="2" borderId="1" xfId="1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0" fontId="15" fillId="2" borderId="1" xfId="1" applyNumberFormat="1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3" fontId="12" fillId="2" borderId="4" xfId="1" applyNumberFormat="1" applyFont="1" applyFill="1" applyBorder="1" applyAlignment="1">
      <alignment horizontal="center"/>
    </xf>
    <xf numFmtId="166" fontId="12" fillId="2" borderId="4" xfId="1" applyNumberFormat="1" applyFont="1" applyFill="1" applyBorder="1" applyAlignment="1">
      <alignment horizontal="center"/>
    </xf>
    <xf numFmtId="0" fontId="16" fillId="2" borderId="4" xfId="1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43" fontId="10" fillId="2" borderId="0" xfId="0" applyNumberFormat="1" applyFont="1" applyFill="1"/>
    <xf numFmtId="0" fontId="12" fillId="2" borderId="1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right" vertical="center"/>
    </xf>
    <xf numFmtId="0" fontId="3" fillId="2" borderId="5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vertical="center" wrapText="1"/>
    </xf>
    <xf numFmtId="0" fontId="3" fillId="2" borderId="6" xfId="1" applyNumberFormat="1" applyFont="1" applyFill="1" applyBorder="1" applyAlignment="1">
      <alignment horizontal="right" vertical="center"/>
    </xf>
    <xf numFmtId="0" fontId="3" fillId="2" borderId="6" xfId="1" applyNumberFormat="1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3" fillId="2" borderId="6" xfId="4" applyFont="1" applyFill="1" applyBorder="1" applyAlignment="1">
      <alignment vertical="center" wrapText="1"/>
    </xf>
    <xf numFmtId="0" fontId="13" fillId="2" borderId="7" xfId="4" applyFont="1" applyFill="1" applyBorder="1" applyAlignment="1">
      <alignment vertical="center" wrapText="1"/>
    </xf>
    <xf numFmtId="0" fontId="6" fillId="2" borderId="6" xfId="4" applyFont="1" applyFill="1" applyBorder="1" applyAlignment="1">
      <alignment vertical="center" wrapText="1"/>
    </xf>
    <xf numFmtId="0" fontId="6" fillId="2" borderId="7" xfId="4" applyFont="1" applyFill="1" applyBorder="1" applyAlignment="1">
      <alignment vertical="center" wrapText="1"/>
    </xf>
    <xf numFmtId="166" fontId="10" fillId="2" borderId="6" xfId="1" quotePrefix="1" applyNumberFormat="1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vertical="center" wrapText="1"/>
    </xf>
    <xf numFmtId="0" fontId="4" fillId="2" borderId="6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 wrapText="1"/>
    </xf>
    <xf numFmtId="168" fontId="15" fillId="2" borderId="6" xfId="1" applyNumberFormat="1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15" fillId="2" borderId="0" xfId="0" applyFont="1" applyFill="1"/>
    <xf numFmtId="2" fontId="15" fillId="2" borderId="8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/>
    <xf numFmtId="0" fontId="10" fillId="2" borderId="0" xfId="1" applyNumberFormat="1" applyFont="1" applyFill="1" applyAlignment="1">
      <alignment horizontal="center"/>
    </xf>
    <xf numFmtId="0" fontId="15" fillId="2" borderId="0" xfId="1" applyNumberFormat="1" applyFont="1" applyFill="1"/>
    <xf numFmtId="0" fontId="15" fillId="2" borderId="8" xfId="4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7" fontId="3" fillId="2" borderId="8" xfId="1" applyNumberFormat="1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8" fillId="2" borderId="0" xfId="0" applyFont="1" applyFill="1"/>
    <xf numFmtId="0" fontId="19" fillId="2" borderId="1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20" fillId="3" borderId="6" xfId="0" applyFont="1" applyFill="1" applyBorder="1"/>
    <xf numFmtId="0" fontId="21" fillId="3" borderId="6" xfId="0" applyFont="1" applyFill="1" applyBorder="1" applyAlignment="1">
      <alignment wrapText="1"/>
    </xf>
    <xf numFmtId="0" fontId="21" fillId="3" borderId="6" xfId="0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0" fillId="2" borderId="17" xfId="4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wrapText="1"/>
    </xf>
    <xf numFmtId="0" fontId="21" fillId="3" borderId="18" xfId="0" applyFont="1" applyFill="1" applyBorder="1" applyAlignment="1">
      <alignment horizontal="center"/>
    </xf>
    <xf numFmtId="0" fontId="10" fillId="2" borderId="18" xfId="4" applyFont="1" applyFill="1" applyBorder="1" applyAlignment="1">
      <alignment horizontal="center" vertical="center" wrapText="1"/>
    </xf>
    <xf numFmtId="0" fontId="12" fillId="2" borderId="18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wrapText="1"/>
    </xf>
    <xf numFmtId="0" fontId="21" fillId="3" borderId="6" xfId="0" applyFont="1" applyFill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0" fontId="22" fillId="0" borderId="6" xfId="0" applyFont="1" applyBorder="1"/>
    <xf numFmtId="0" fontId="22" fillId="3" borderId="6" xfId="0" applyFont="1" applyFill="1" applyBorder="1" applyAlignment="1">
      <alignment wrapText="1"/>
    </xf>
    <xf numFmtId="0" fontId="21" fillId="0" borderId="6" xfId="0" applyFont="1" applyBorder="1"/>
    <xf numFmtId="0" fontId="22" fillId="3" borderId="6" xfId="0" applyFont="1" applyFill="1" applyBorder="1" applyAlignment="1">
      <alignment horizontal="justify" wrapText="1"/>
    </xf>
    <xf numFmtId="0" fontId="24" fillId="3" borderId="6" xfId="0" applyFont="1" applyFill="1" applyBorder="1" applyAlignment="1">
      <alignment horizontal="center" wrapText="1"/>
    </xf>
    <xf numFmtId="0" fontId="22" fillId="3" borderId="6" xfId="0" applyFont="1" applyFill="1" applyBorder="1"/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20" fillId="3" borderId="5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wrapText="1"/>
    </xf>
    <xf numFmtId="0" fontId="21" fillId="3" borderId="8" xfId="0" applyFont="1" applyFill="1" applyBorder="1" applyAlignment="1">
      <alignment wrapText="1"/>
    </xf>
    <xf numFmtId="0" fontId="21" fillId="3" borderId="8" xfId="0" applyFont="1" applyFill="1" applyBorder="1" applyAlignment="1">
      <alignment horizontal="center" wrapText="1"/>
    </xf>
    <xf numFmtId="0" fontId="20" fillId="3" borderId="5" xfId="0" applyFont="1" applyFill="1" applyBorder="1"/>
    <xf numFmtId="0" fontId="21" fillId="3" borderId="5" xfId="0" applyFont="1" applyFill="1" applyBorder="1"/>
    <xf numFmtId="0" fontId="22" fillId="3" borderId="6" xfId="0" quotePrefix="1" applyFont="1" applyFill="1" applyBorder="1" applyAlignment="1">
      <alignment wrapText="1"/>
    </xf>
    <xf numFmtId="43" fontId="10" fillId="2" borderId="7" xfId="1" applyFont="1" applyFill="1" applyBorder="1" applyAlignment="1">
      <alignment horizontal="center" vertical="center" wrapText="1"/>
    </xf>
    <xf numFmtId="43" fontId="10" fillId="2" borderId="7" xfId="4" applyNumberFormat="1" applyFont="1" applyFill="1" applyBorder="1" applyAlignment="1">
      <alignment horizontal="center" vertical="center" wrapText="1"/>
    </xf>
    <xf numFmtId="0" fontId="22" fillId="0" borderId="6" xfId="0" quotePrefix="1" applyFont="1" applyBorder="1"/>
    <xf numFmtId="166" fontId="10" fillId="2" borderId="7" xfId="1" applyNumberFormat="1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wrapText="1"/>
    </xf>
    <xf numFmtId="0" fontId="22" fillId="3" borderId="15" xfId="0" applyFont="1" applyFill="1" applyBorder="1" applyAlignment="1">
      <alignment horizontal="center" wrapText="1"/>
    </xf>
    <xf numFmtId="43" fontId="10" fillId="2" borderId="16" xfId="1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vertical="center" wrapText="1"/>
    </xf>
    <xf numFmtId="0" fontId="22" fillId="3" borderId="6" xfId="0" applyFont="1" applyFill="1" applyBorder="1" applyAlignment="1">
      <alignment vertical="center" wrapText="1"/>
    </xf>
    <xf numFmtId="166" fontId="10" fillId="2" borderId="6" xfId="1" applyNumberFormat="1" applyFont="1" applyFill="1" applyBorder="1" applyAlignment="1">
      <alignment vertical="center" wrapText="1"/>
    </xf>
    <xf numFmtId="166" fontId="10" fillId="2" borderId="6" xfId="1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 wrapText="1"/>
    </xf>
    <xf numFmtId="43" fontId="10" fillId="2" borderId="7" xfId="4" applyNumberFormat="1" applyFont="1" applyFill="1" applyBorder="1" applyAlignment="1">
      <alignment vertical="center" wrapText="1"/>
    </xf>
    <xf numFmtId="43" fontId="10" fillId="2" borderId="16" xfId="1" applyFont="1" applyFill="1" applyBorder="1" applyAlignment="1">
      <alignment vertical="center" wrapText="1"/>
    </xf>
    <xf numFmtId="165" fontId="11" fillId="2" borderId="0" xfId="3" applyNumberFormat="1" applyFont="1" applyFill="1" applyBorder="1" applyAlignment="1">
      <alignment wrapText="1"/>
    </xf>
    <xf numFmtId="1" fontId="18" fillId="2" borderId="10" xfId="3" applyFont="1" applyFill="1" applyBorder="1" applyAlignment="1"/>
    <xf numFmtId="0" fontId="10" fillId="2" borderId="7" xfId="4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43" fontId="3" fillId="2" borderId="6" xfId="1" applyNumberFormat="1" applyFont="1" applyFill="1" applyBorder="1" applyAlignment="1">
      <alignment horizontal="center" vertical="center"/>
    </xf>
    <xf numFmtId="43" fontId="3" fillId="2" borderId="6" xfId="1" quotePrefix="1" applyNumberFormat="1" applyFont="1" applyFill="1" applyBorder="1" applyAlignment="1">
      <alignment horizontal="center" vertical="center"/>
    </xf>
    <xf numFmtId="166" fontId="4" fillId="2" borderId="6" xfId="1" applyNumberFormat="1" applyFont="1" applyFill="1" applyBorder="1" applyAlignment="1">
      <alignment horizontal="center" vertical="center"/>
    </xf>
    <xf numFmtId="167" fontId="4" fillId="2" borderId="6" xfId="1" applyNumberFormat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right" vertical="center"/>
    </xf>
    <xf numFmtId="43" fontId="10" fillId="2" borderId="6" xfId="1" quotePrefix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10" fillId="2" borderId="19" xfId="1" applyFont="1" applyFill="1" applyBorder="1" applyAlignment="1">
      <alignment horizontal="center" vertical="center" wrapText="1"/>
    </xf>
    <xf numFmtId="43" fontId="10" fillId="2" borderId="19" xfId="1" applyFont="1" applyFill="1" applyBorder="1" applyAlignment="1">
      <alignment vertical="center" wrapText="1"/>
    </xf>
    <xf numFmtId="2" fontId="10" fillId="2" borderId="6" xfId="4" applyNumberFormat="1" applyFont="1" applyFill="1" applyBorder="1" applyAlignment="1">
      <alignment horizontal="center" vertical="center" wrapText="1"/>
    </xf>
    <xf numFmtId="2" fontId="15" fillId="2" borderId="6" xfId="4" applyNumberFormat="1" applyFont="1" applyFill="1" applyBorder="1" applyAlignment="1">
      <alignment horizontal="center" vertical="center" wrapText="1"/>
    </xf>
    <xf numFmtId="2" fontId="25" fillId="0" borderId="6" xfId="0" applyNumberFormat="1" applyFont="1" applyBorder="1" applyAlignment="1">
      <alignment horizontal="center" vertical="center"/>
    </xf>
    <xf numFmtId="0" fontId="10" fillId="2" borderId="18" xfId="4" applyFont="1" applyFill="1" applyBorder="1" applyAlignment="1">
      <alignment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vertical="center" wrapText="1"/>
    </xf>
    <xf numFmtId="0" fontId="10" fillId="2" borderId="0" xfId="0" applyFont="1" applyFill="1" applyBorder="1"/>
    <xf numFmtId="2" fontId="26" fillId="2" borderId="6" xfId="0" applyNumberFormat="1" applyFont="1" applyFill="1" applyBorder="1" applyAlignment="1">
      <alignment horizontal="center" vertical="center"/>
    </xf>
    <xf numFmtId="2" fontId="27" fillId="2" borderId="6" xfId="0" applyNumberFormat="1" applyFont="1" applyFill="1" applyBorder="1" applyAlignment="1">
      <alignment horizontal="center" vertical="center"/>
    </xf>
    <xf numFmtId="169" fontId="26" fillId="2" borderId="6" xfId="0" applyNumberFormat="1" applyFont="1" applyFill="1" applyBorder="1"/>
    <xf numFmtId="1" fontId="18" fillId="2" borderId="10" xfId="3" applyFont="1" applyFill="1" applyBorder="1" applyAlignment="1">
      <alignment horizontal="center"/>
    </xf>
    <xf numFmtId="0" fontId="10" fillId="2" borderId="6" xfId="4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43" fontId="26" fillId="2" borderId="6" xfId="1" applyFont="1" applyFill="1" applyBorder="1" applyAlignment="1">
      <alignment horizontal="center" vertical="center"/>
    </xf>
    <xf numFmtId="1" fontId="18" fillId="2" borderId="0" xfId="3" applyFont="1" applyFill="1" applyBorder="1" applyAlignment="1"/>
    <xf numFmtId="43" fontId="10" fillId="2" borderId="0" xfId="1" applyFont="1" applyFill="1"/>
    <xf numFmtId="0" fontId="30" fillId="3" borderId="6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22" fillId="0" borderId="6" xfId="0" quotePrefix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3" borderId="6" xfId="0" quotePrefix="1" applyFont="1" applyFill="1" applyBorder="1" applyAlignment="1">
      <alignment vertical="center" wrapText="1"/>
    </xf>
    <xf numFmtId="0" fontId="22" fillId="3" borderId="6" xfId="0" applyFont="1" applyFill="1" applyBorder="1" applyAlignment="1">
      <alignment horizontal="justify" vertical="center" wrapText="1"/>
    </xf>
    <xf numFmtId="0" fontId="20" fillId="3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32" fillId="0" borderId="0" xfId="0" applyNumberFormat="1" applyFont="1" applyFill="1" applyBorder="1" applyAlignment="1">
      <alignment horizontal="center"/>
    </xf>
    <xf numFmtId="165" fontId="33" fillId="0" borderId="0" xfId="0" applyNumberFormat="1" applyFont="1" applyBorder="1" applyAlignment="1"/>
    <xf numFmtId="165" fontId="33" fillId="0" borderId="0" xfId="0" applyNumberFormat="1" applyFont="1" applyBorder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0" fontId="35" fillId="0" borderId="0" xfId="0" applyFont="1" applyFill="1"/>
    <xf numFmtId="3" fontId="36" fillId="0" borderId="0" xfId="6" applyNumberFormat="1" applyFont="1" applyAlignment="1"/>
    <xf numFmtId="165" fontId="38" fillId="0" borderId="0" xfId="0" applyNumberFormat="1" applyFont="1" applyBorder="1" applyAlignment="1"/>
    <xf numFmtId="0" fontId="35" fillId="0" borderId="0" xfId="0" applyFont="1" applyFill="1" applyAlignment="1">
      <alignment horizontal="center"/>
    </xf>
    <xf numFmtId="165" fontId="32" fillId="0" borderId="0" xfId="0" applyNumberFormat="1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70" fontId="32" fillId="0" borderId="33" xfId="0" applyNumberFormat="1" applyFont="1" applyFill="1" applyBorder="1" applyAlignment="1">
      <alignment horizontal="center" vertical="center" wrapText="1"/>
    </xf>
    <xf numFmtId="170" fontId="35" fillId="0" borderId="0" xfId="0" applyNumberFormat="1" applyFont="1" applyFill="1" applyAlignment="1">
      <alignment vertical="center"/>
    </xf>
    <xf numFmtId="0" fontId="31" fillId="2" borderId="6" xfId="0" applyFont="1" applyFill="1" applyBorder="1" applyAlignment="1">
      <alignment horizontal="center" vertical="center" wrapText="1"/>
    </xf>
    <xf numFmtId="0" fontId="31" fillId="2" borderId="6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horizontal="right" vertical="center" wrapText="1"/>
    </xf>
    <xf numFmtId="0" fontId="31" fillId="0" borderId="5" xfId="0" applyFont="1" applyFill="1" applyBorder="1" applyAlignment="1">
      <alignment horizontal="right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2" fontId="31" fillId="0" borderId="5" xfId="0" applyNumberFormat="1" applyFont="1" applyFill="1" applyBorder="1" applyAlignment="1">
      <alignment horizontal="right" vertical="center" wrapText="1"/>
    </xf>
    <xf numFmtId="2" fontId="31" fillId="0" borderId="6" xfId="0" applyNumberFormat="1" applyFont="1" applyFill="1" applyBorder="1" applyAlignment="1">
      <alignment horizontal="right" vertical="center" wrapText="1"/>
    </xf>
    <xf numFmtId="171" fontId="31" fillId="0" borderId="5" xfId="1" applyNumberFormat="1" applyFont="1" applyFill="1" applyBorder="1" applyAlignment="1">
      <alignment horizontal="right" vertical="center" wrapText="1"/>
    </xf>
    <xf numFmtId="2" fontId="31" fillId="0" borderId="14" xfId="0" applyNumberFormat="1" applyFont="1" applyFill="1" applyBorder="1" applyAlignment="1">
      <alignment horizontal="right" vertical="center" wrapText="1"/>
    </xf>
    <xf numFmtId="0" fontId="31" fillId="0" borderId="0" xfId="0" applyFont="1" applyFill="1"/>
    <xf numFmtId="0" fontId="31" fillId="2" borderId="6" xfId="0" applyFont="1" applyFill="1" applyBorder="1" applyAlignment="1">
      <alignment vertical="center" wrapText="1"/>
    </xf>
    <xf numFmtId="164" fontId="31" fillId="0" borderId="5" xfId="7" applyNumberFormat="1" applyFont="1" applyFill="1" applyBorder="1" applyAlignment="1">
      <alignment horizontal="right" vertical="center" wrapText="1"/>
    </xf>
    <xf numFmtId="172" fontId="31" fillId="0" borderId="6" xfId="5" applyNumberFormat="1" applyFont="1" applyFill="1" applyBorder="1" applyAlignment="1">
      <alignment horizontal="right" vertical="center" wrapText="1"/>
    </xf>
    <xf numFmtId="172" fontId="31" fillId="0" borderId="5" xfId="7" applyNumberFormat="1" applyFont="1" applyFill="1" applyBorder="1" applyAlignment="1">
      <alignment horizontal="right" vertical="center" wrapText="1"/>
    </xf>
    <xf numFmtId="171" fontId="31" fillId="0" borderId="6" xfId="0" applyNumberFormat="1" applyFont="1" applyFill="1" applyBorder="1" applyAlignment="1">
      <alignment horizontal="right" vertical="center" wrapText="1"/>
    </xf>
    <xf numFmtId="173" fontId="31" fillId="0" borderId="6" xfId="0" applyNumberFormat="1" applyFont="1" applyFill="1" applyBorder="1" applyAlignment="1">
      <alignment horizontal="right" vertical="center" wrapText="1"/>
    </xf>
    <xf numFmtId="173" fontId="31" fillId="0" borderId="15" xfId="0" applyNumberFormat="1" applyFont="1" applyFill="1" applyBorder="1" applyAlignment="1">
      <alignment horizontal="right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5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right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35" fillId="2" borderId="6" xfId="0" quotePrefix="1" applyFont="1" applyFill="1" applyBorder="1" applyAlignment="1">
      <alignment vertical="center" wrapText="1"/>
    </xf>
    <xf numFmtId="164" fontId="35" fillId="0" borderId="5" xfId="7" applyNumberFormat="1" applyFont="1" applyFill="1" applyBorder="1" applyAlignment="1">
      <alignment horizontal="right" vertical="center" wrapText="1"/>
    </xf>
    <xf numFmtId="0" fontId="35" fillId="0" borderId="6" xfId="0" applyFont="1" applyFill="1" applyBorder="1" applyAlignment="1">
      <alignment horizontal="right" vertical="center" wrapText="1"/>
    </xf>
    <xf numFmtId="171" fontId="35" fillId="0" borderId="6" xfId="7" applyNumberFormat="1" applyFont="1" applyFill="1" applyBorder="1" applyAlignment="1">
      <alignment horizontal="right" vertical="center" wrapText="1"/>
    </xf>
    <xf numFmtId="164" fontId="35" fillId="0" borderId="6" xfId="7" applyNumberFormat="1" applyFont="1" applyFill="1" applyBorder="1" applyAlignment="1">
      <alignment horizontal="right" vertical="center" wrapText="1"/>
    </xf>
    <xf numFmtId="4" fontId="35" fillId="0" borderId="6" xfId="0" applyNumberFormat="1" applyFont="1" applyFill="1" applyBorder="1" applyAlignment="1">
      <alignment horizontal="right" vertical="center" wrapText="1"/>
    </xf>
    <xf numFmtId="4" fontId="35" fillId="0" borderId="15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3" fillId="2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right" vertical="center" wrapText="1"/>
    </xf>
    <xf numFmtId="3" fontId="31" fillId="0" borderId="6" xfId="0" applyNumberFormat="1" applyFont="1" applyFill="1" applyBorder="1" applyAlignment="1">
      <alignment horizontal="right" vertical="center" wrapText="1"/>
    </xf>
    <xf numFmtId="1" fontId="31" fillId="0" borderId="6" xfId="0" applyNumberFormat="1" applyFont="1" applyFill="1" applyBorder="1" applyAlignment="1">
      <alignment horizontal="right" vertical="center" wrapText="1"/>
    </xf>
    <xf numFmtId="0" fontId="31" fillId="0" borderId="15" xfId="0" applyFont="1" applyFill="1" applyBorder="1" applyAlignment="1">
      <alignment horizontal="right" vertical="center" wrapText="1"/>
    </xf>
    <xf numFmtId="172" fontId="31" fillId="0" borderId="6" xfId="1" applyNumberFormat="1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173" fontId="31" fillId="2" borderId="6" xfId="6" applyNumberFormat="1" applyFont="1" applyFill="1" applyBorder="1" applyAlignment="1">
      <alignment vertical="center" wrapText="1"/>
    </xf>
    <xf numFmtId="173" fontId="43" fillId="2" borderId="6" xfId="6" applyNumberFormat="1" applyFont="1" applyFill="1" applyBorder="1" applyAlignment="1">
      <alignment horizontal="center" vertical="center" wrapText="1"/>
    </xf>
    <xf numFmtId="173" fontId="35" fillId="2" borderId="6" xfId="6" applyNumberFormat="1" applyFont="1" applyFill="1" applyBorder="1" applyAlignment="1">
      <alignment vertical="center" wrapText="1"/>
    </xf>
    <xf numFmtId="173" fontId="39" fillId="2" borderId="6" xfId="6" applyNumberFormat="1" applyFont="1" applyFill="1" applyBorder="1" applyAlignment="1">
      <alignment horizontal="center" vertical="center" wrapText="1"/>
    </xf>
    <xf numFmtId="173" fontId="35" fillId="0" borderId="6" xfId="6" applyNumberFormat="1" applyFont="1" applyFill="1" applyBorder="1" applyAlignment="1">
      <alignment horizontal="center" vertical="center" wrapText="1"/>
    </xf>
    <xf numFmtId="172" fontId="31" fillId="0" borderId="6" xfId="7" applyNumberFormat="1" applyFont="1" applyFill="1" applyBorder="1" applyAlignment="1">
      <alignment horizontal="right" vertical="center" wrapText="1"/>
    </xf>
    <xf numFmtId="4" fontId="31" fillId="0" borderId="6" xfId="0" applyNumberFormat="1" applyFont="1" applyFill="1" applyBorder="1" applyAlignment="1">
      <alignment horizontal="right" vertical="center" wrapText="1"/>
    </xf>
    <xf numFmtId="164" fontId="31" fillId="0" borderId="6" xfId="7" applyNumberFormat="1" applyFont="1" applyFill="1" applyBorder="1" applyAlignment="1">
      <alignment horizontal="right" vertical="center" wrapText="1"/>
    </xf>
    <xf numFmtId="173" fontId="31" fillId="0" borderId="14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172" fontId="35" fillId="0" borderId="6" xfId="7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/>
    <xf numFmtId="3" fontId="18" fillId="0" borderId="6" xfId="0" applyNumberFormat="1" applyFont="1" applyFill="1" applyBorder="1" applyAlignment="1">
      <alignment horizontal="right" vertical="center" wrapText="1"/>
    </xf>
    <xf numFmtId="173" fontId="18" fillId="0" borderId="6" xfId="0" applyNumberFormat="1" applyFont="1" applyFill="1" applyBorder="1" applyAlignment="1">
      <alignment horizontal="right" vertical="center" wrapText="1"/>
    </xf>
    <xf numFmtId="173" fontId="18" fillId="0" borderId="15" xfId="0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18" fillId="0" borderId="0" xfId="0" applyFont="1" applyFill="1"/>
    <xf numFmtId="173" fontId="31" fillId="0" borderId="6" xfId="7" applyNumberFormat="1" applyFont="1" applyFill="1" applyBorder="1" applyAlignment="1">
      <alignment horizontal="right" vertical="center" wrapText="1"/>
    </xf>
    <xf numFmtId="171" fontId="31" fillId="0" borderId="6" xfId="7" applyNumberFormat="1" applyFont="1" applyFill="1" applyBorder="1" applyAlignment="1">
      <alignment horizontal="right" vertical="center" wrapText="1"/>
    </xf>
    <xf numFmtId="171" fontId="31" fillId="0" borderId="15" xfId="7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/>
    <xf numFmtId="0" fontId="31" fillId="0" borderId="6" xfId="0" applyFont="1" applyFill="1" applyBorder="1" applyAlignment="1">
      <alignment horizontal="center" vertical="center" wrapText="1"/>
    </xf>
    <xf numFmtId="172" fontId="31" fillId="0" borderId="15" xfId="7" applyNumberFormat="1" applyFont="1" applyFill="1" applyBorder="1" applyAlignment="1">
      <alignment horizontal="right" vertical="center" wrapText="1"/>
    </xf>
    <xf numFmtId="0" fontId="35" fillId="2" borderId="6" xfId="0" applyNumberFormat="1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center" vertical="center" wrapText="1"/>
    </xf>
    <xf numFmtId="3" fontId="35" fillId="0" borderId="6" xfId="0" applyNumberFormat="1" applyFont="1" applyFill="1" applyBorder="1" applyAlignment="1">
      <alignment horizontal="right" vertical="center" wrapText="1"/>
    </xf>
    <xf numFmtId="3" fontId="31" fillId="0" borderId="15" xfId="0" applyNumberFormat="1" applyFont="1" applyFill="1" applyBorder="1" applyAlignment="1">
      <alignment horizontal="right" vertical="center" wrapText="1"/>
    </xf>
    <xf numFmtId="173" fontId="31" fillId="0" borderId="14" xfId="7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/>
    <xf numFmtId="164" fontId="35" fillId="0" borderId="6" xfId="0" applyNumberFormat="1" applyFont="1" applyFill="1" applyBorder="1" applyAlignment="1">
      <alignment horizontal="right" vertical="center" wrapText="1"/>
    </xf>
    <xf numFmtId="164" fontId="31" fillId="0" borderId="15" xfId="7" applyNumberFormat="1" applyFont="1" applyFill="1" applyBorder="1" applyAlignment="1">
      <alignment horizontal="right" vertical="center" wrapText="1"/>
    </xf>
    <xf numFmtId="173" fontId="35" fillId="0" borderId="6" xfId="0" applyNumberFormat="1" applyFont="1" applyFill="1" applyBorder="1" applyAlignment="1">
      <alignment horizontal="right" vertical="center" wrapText="1"/>
    </xf>
    <xf numFmtId="165" fontId="31" fillId="0" borderId="6" xfId="0" applyNumberFormat="1" applyFont="1" applyFill="1" applyBorder="1" applyAlignment="1">
      <alignment horizontal="right" vertical="center" wrapText="1"/>
    </xf>
    <xf numFmtId="3" fontId="35" fillId="0" borderId="15" xfId="0" applyNumberFormat="1" applyFont="1" applyFill="1" applyBorder="1" applyAlignment="1">
      <alignment horizontal="right" vertical="center" wrapText="1"/>
    </xf>
    <xf numFmtId="164" fontId="35" fillId="0" borderId="15" xfId="7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/>
    <xf numFmtId="172" fontId="35" fillId="0" borderId="6" xfId="0" applyNumberFormat="1" applyFont="1" applyFill="1" applyBorder="1" applyAlignment="1">
      <alignment horizontal="right" vertical="center" wrapText="1"/>
    </xf>
    <xf numFmtId="171" fontId="35" fillId="0" borderId="6" xfId="0" applyNumberFormat="1" applyFont="1" applyFill="1" applyBorder="1" applyAlignment="1">
      <alignment horizontal="right" vertical="center" wrapText="1"/>
    </xf>
    <xf numFmtId="165" fontId="35" fillId="0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left" vertical="center" wrapText="1"/>
    </xf>
    <xf numFmtId="171" fontId="35" fillId="0" borderId="15" xfId="7" applyNumberFormat="1" applyFont="1" applyFill="1" applyBorder="1" applyAlignment="1">
      <alignment horizontal="right" vertical="center" wrapText="1"/>
    </xf>
    <xf numFmtId="1" fontId="35" fillId="0" borderId="6" xfId="0" applyNumberFormat="1" applyFont="1" applyFill="1" applyBorder="1" applyAlignment="1">
      <alignment horizontal="right" vertical="center" wrapText="1"/>
    </xf>
    <xf numFmtId="49" fontId="35" fillId="2" borderId="6" xfId="0" applyNumberFormat="1" applyFont="1" applyFill="1" applyBorder="1" applyAlignment="1">
      <alignment horizontal="left" vertical="center" wrapText="1"/>
    </xf>
    <xf numFmtId="4" fontId="35" fillId="2" borderId="6" xfId="0" applyNumberFormat="1" applyFont="1" applyFill="1" applyBorder="1" applyAlignment="1">
      <alignment horizontal="right" vertical="center" wrapText="1"/>
    </xf>
    <xf numFmtId="2" fontId="35" fillId="2" borderId="6" xfId="0" applyNumberFormat="1" applyFont="1" applyFill="1" applyBorder="1" applyAlignment="1">
      <alignment horizontal="right" vertical="center" wrapText="1"/>
    </xf>
    <xf numFmtId="173" fontId="35" fillId="0" borderId="15" xfId="0" applyNumberFormat="1" applyFont="1" applyFill="1" applyBorder="1" applyAlignment="1">
      <alignment horizontal="right" vertical="center" wrapText="1"/>
    </xf>
    <xf numFmtId="2" fontId="35" fillId="0" borderId="6" xfId="0" applyNumberFormat="1" applyFont="1" applyFill="1" applyBorder="1" applyAlignment="1">
      <alignment horizontal="right" vertical="center" wrapText="1"/>
    </xf>
    <xf numFmtId="165" fontId="35" fillId="2" borderId="6" xfId="0" applyNumberFormat="1" applyFont="1" applyFill="1" applyBorder="1" applyAlignment="1">
      <alignment horizontal="right" vertical="center" wrapText="1"/>
    </xf>
    <xf numFmtId="9" fontId="39" fillId="2" borderId="6" xfId="0" applyNumberFormat="1" applyFont="1" applyFill="1" applyBorder="1" applyAlignment="1">
      <alignment horizontal="center" vertical="center" wrapText="1"/>
    </xf>
    <xf numFmtId="164" fontId="35" fillId="2" borderId="6" xfId="5" applyNumberFormat="1" applyFont="1" applyFill="1" applyBorder="1" applyAlignment="1">
      <alignment vertical="center" wrapText="1"/>
    </xf>
    <xf numFmtId="164" fontId="35" fillId="0" borderId="15" xfId="0" applyNumberFormat="1" applyFont="1" applyFill="1" applyBorder="1" applyAlignment="1">
      <alignment horizontal="right" vertical="center" wrapText="1"/>
    </xf>
    <xf numFmtId="2" fontId="46" fillId="0" borderId="6" xfId="8" applyNumberFormat="1" applyFont="1" applyFill="1" applyBorder="1" applyAlignment="1">
      <alignment horizontal="right" vertical="center" wrapText="1"/>
    </xf>
    <xf numFmtId="2" fontId="46" fillId="0" borderId="6" xfId="8" applyNumberFormat="1" applyFont="1" applyFill="1" applyBorder="1" applyAlignment="1">
      <alignment horizontal="center" vertical="center"/>
    </xf>
    <xf numFmtId="2" fontId="46" fillId="0" borderId="6" xfId="8" applyNumberFormat="1" applyFont="1" applyFill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right" vertical="center" wrapText="1"/>
    </xf>
    <xf numFmtId="2" fontId="46" fillId="0" borderId="6" xfId="0" applyNumberFormat="1" applyFont="1" applyFill="1" applyBorder="1" applyAlignment="1">
      <alignment horizontal="right" vertical="center" wrapText="1"/>
    </xf>
    <xf numFmtId="9" fontId="31" fillId="0" borderId="0" xfId="0" applyNumberFormat="1" applyFont="1" applyFill="1"/>
    <xf numFmtId="2" fontId="46" fillId="2" borderId="6" xfId="0" applyNumberFormat="1" applyFont="1" applyFill="1" applyBorder="1" applyAlignment="1">
      <alignment horizontal="right" vertical="center" wrapText="1"/>
    </xf>
    <xf numFmtId="3" fontId="35" fillId="2" borderId="6" xfId="0" applyNumberFormat="1" applyFont="1" applyFill="1" applyBorder="1" applyAlignment="1">
      <alignment horizontal="right" vertical="center" wrapText="1"/>
    </xf>
    <xf numFmtId="173" fontId="46" fillId="2" borderId="6" xfId="0" applyNumberFormat="1" applyFont="1" applyFill="1" applyBorder="1" applyAlignment="1">
      <alignment horizontal="right" vertical="center" wrapText="1"/>
    </xf>
    <xf numFmtId="165" fontId="46" fillId="0" borderId="6" xfId="0" applyNumberFormat="1" applyFont="1" applyFill="1" applyBorder="1" applyAlignment="1">
      <alignment horizontal="right" vertical="center" wrapText="1"/>
    </xf>
    <xf numFmtId="4" fontId="35" fillId="2" borderId="15" xfId="0" applyNumberFormat="1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31" fillId="2" borderId="0" xfId="0" applyFont="1" applyFill="1"/>
    <xf numFmtId="164" fontId="18" fillId="0" borderId="6" xfId="0" applyNumberFormat="1" applyFont="1" applyFill="1" applyBorder="1" applyAlignment="1">
      <alignment horizontal="right" vertical="center" wrapText="1"/>
    </xf>
    <xf numFmtId="171" fontId="18" fillId="0" borderId="6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3" fontId="35" fillId="0" borderId="37" xfId="0" applyNumberFormat="1" applyFont="1" applyFill="1" applyBorder="1" applyAlignment="1">
      <alignment horizontal="right" vertical="center" wrapText="1"/>
    </xf>
    <xf numFmtId="165" fontId="35" fillId="0" borderId="37" xfId="0" applyNumberFormat="1" applyFont="1" applyFill="1" applyBorder="1" applyAlignment="1">
      <alignment vertical="center" wrapText="1"/>
    </xf>
    <xf numFmtId="3" fontId="35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5" fillId="0" borderId="0" xfId="0" applyFont="1" applyFill="1" applyAlignment="1">
      <alignment wrapText="1"/>
    </xf>
    <xf numFmtId="0" fontId="6" fillId="0" borderId="0" xfId="0" applyFont="1" applyFill="1"/>
    <xf numFmtId="172" fontId="35" fillId="0" borderId="0" xfId="7" applyNumberFormat="1" applyFont="1" applyFill="1"/>
    <xf numFmtId="172" fontId="35" fillId="0" borderId="0" xfId="0" applyNumberFormat="1" applyFont="1" applyFill="1"/>
    <xf numFmtId="4" fontId="48" fillId="2" borderId="6" xfId="0" applyNumberFormat="1" applyFont="1" applyFill="1" applyBorder="1" applyAlignment="1">
      <alignment horizontal="right" vertical="center" wrapText="1"/>
    </xf>
    <xf numFmtId="171" fontId="48" fillId="0" borderId="6" xfId="7" applyNumberFormat="1" applyFont="1" applyFill="1" applyBorder="1" applyAlignment="1">
      <alignment horizontal="right" vertical="center" wrapText="1"/>
    </xf>
    <xf numFmtId="3" fontId="48" fillId="0" borderId="6" xfId="0" applyNumberFormat="1" applyFont="1" applyFill="1" applyBorder="1" applyAlignment="1">
      <alignment horizontal="right" vertical="center" wrapText="1"/>
    </xf>
    <xf numFmtId="173" fontId="48" fillId="0" borderId="6" xfId="0" applyNumberFormat="1" applyFont="1" applyFill="1" applyBorder="1" applyAlignment="1">
      <alignment horizontal="right" vertical="center" wrapText="1"/>
    </xf>
    <xf numFmtId="2" fontId="48" fillId="0" borderId="6" xfId="0" applyNumberFormat="1" applyFont="1" applyFill="1" applyBorder="1" applyAlignment="1">
      <alignment horizontal="right" vertical="center" wrapText="1"/>
    </xf>
    <xf numFmtId="164" fontId="48" fillId="0" borderId="6" xfId="0" applyNumberFormat="1" applyFont="1" applyFill="1" applyBorder="1" applyAlignment="1">
      <alignment horizontal="right" vertical="center" wrapText="1"/>
    </xf>
    <xf numFmtId="4" fontId="48" fillId="0" borderId="6" xfId="0" applyNumberFormat="1" applyFont="1" applyFill="1" applyBorder="1" applyAlignment="1">
      <alignment horizontal="right" vertical="center" wrapText="1"/>
    </xf>
    <xf numFmtId="0" fontId="48" fillId="0" borderId="6" xfId="0" applyFont="1" applyFill="1" applyBorder="1" applyAlignment="1">
      <alignment horizontal="right" vertical="center" wrapText="1"/>
    </xf>
    <xf numFmtId="164" fontId="48" fillId="0" borderId="6" xfId="7" applyNumberFormat="1" applyFont="1" applyFill="1" applyBorder="1" applyAlignment="1">
      <alignment horizontal="right" vertical="center" wrapText="1"/>
    </xf>
    <xf numFmtId="3" fontId="48" fillId="2" borderId="6" xfId="0" applyNumberFormat="1" applyFont="1" applyFill="1" applyBorder="1" applyAlignment="1">
      <alignment horizontal="right" vertical="center" wrapText="1"/>
    </xf>
    <xf numFmtId="2" fontId="48" fillId="2" borderId="6" xfId="0" applyNumberFormat="1" applyFont="1" applyFill="1" applyBorder="1" applyAlignment="1">
      <alignment horizontal="right" vertical="center" wrapText="1"/>
    </xf>
    <xf numFmtId="165" fontId="48" fillId="0" borderId="6" xfId="0" applyNumberFormat="1" applyFont="1" applyFill="1" applyBorder="1" applyAlignment="1">
      <alignment horizontal="right" vertical="center" wrapText="1"/>
    </xf>
    <xf numFmtId="173" fontId="48" fillId="0" borderId="15" xfId="0" applyNumberFormat="1" applyFont="1" applyFill="1" applyBorder="1" applyAlignment="1">
      <alignment horizontal="right" vertical="center" wrapText="1"/>
    </xf>
    <xf numFmtId="43" fontId="48" fillId="2" borderId="6" xfId="1" applyFont="1" applyFill="1" applyBorder="1" applyAlignment="1">
      <alignment horizontal="right" vertical="center" wrapText="1"/>
    </xf>
    <xf numFmtId="165" fontId="48" fillId="2" borderId="6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3" fontId="48" fillId="0" borderId="15" xfId="0" applyNumberFormat="1" applyFont="1" applyFill="1" applyBorder="1" applyAlignment="1">
      <alignment horizontal="right" vertical="center" wrapText="1"/>
    </xf>
    <xf numFmtId="164" fontId="48" fillId="0" borderId="15" xfId="0" applyNumberFormat="1" applyFont="1" applyFill="1" applyBorder="1" applyAlignment="1">
      <alignment horizontal="right" vertical="center" wrapText="1"/>
    </xf>
    <xf numFmtId="1" fontId="48" fillId="2" borderId="6" xfId="0" applyNumberFormat="1" applyFont="1" applyFill="1" applyBorder="1" applyAlignment="1">
      <alignment horizontal="right" vertical="center" wrapText="1"/>
    </xf>
    <xf numFmtId="43" fontId="48" fillId="0" borderId="6" xfId="1" applyFont="1" applyFill="1" applyBorder="1" applyAlignment="1">
      <alignment horizontal="right" vertical="center" wrapText="1"/>
    </xf>
    <xf numFmtId="0" fontId="48" fillId="0" borderId="15" xfId="0" applyNumberFormat="1" applyFont="1" applyFill="1" applyBorder="1" applyAlignment="1">
      <alignment horizontal="right" vertical="center" wrapText="1"/>
    </xf>
    <xf numFmtId="43" fontId="48" fillId="0" borderId="15" xfId="1" applyFont="1" applyFill="1" applyBorder="1" applyAlignment="1">
      <alignment horizontal="right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3" fontId="10" fillId="2" borderId="18" xfId="1" applyFont="1" applyFill="1" applyBorder="1" applyAlignment="1">
      <alignment vertical="center" wrapText="1"/>
    </xf>
    <xf numFmtId="43" fontId="10" fillId="2" borderId="1" xfId="1" applyFont="1" applyFill="1" applyBorder="1" applyAlignment="1">
      <alignment vertical="center" wrapText="1"/>
    </xf>
    <xf numFmtId="0" fontId="47" fillId="3" borderId="6" xfId="0" applyFont="1" applyFill="1" applyBorder="1" applyAlignment="1">
      <alignment wrapText="1"/>
    </xf>
    <xf numFmtId="43" fontId="10" fillId="2" borderId="6" xfId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/>
    </xf>
    <xf numFmtId="1" fontId="18" fillId="2" borderId="10" xfId="3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vertical="center"/>
    </xf>
    <xf numFmtId="0" fontId="21" fillId="3" borderId="6" xfId="0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2" fontId="52" fillId="0" borderId="6" xfId="0" applyNumberFormat="1" applyFont="1" applyFill="1" applyBorder="1" applyAlignment="1">
      <alignment horizontal="center" vertical="center"/>
    </xf>
    <xf numFmtId="166" fontId="10" fillId="2" borderId="7" xfId="4" applyNumberFormat="1" applyFont="1" applyFill="1" applyBorder="1" applyAlignment="1">
      <alignment horizontal="center" vertical="center" wrapText="1"/>
    </xf>
    <xf numFmtId="169" fontId="52" fillId="0" borderId="6" xfId="0" applyNumberFormat="1" applyFont="1" applyFill="1" applyBorder="1" applyAlignment="1">
      <alignment horizontal="center"/>
    </xf>
    <xf numFmtId="43" fontId="10" fillId="0" borderId="19" xfId="1" applyFont="1" applyFill="1" applyBorder="1" applyAlignment="1">
      <alignment horizontal="center" vertical="center" wrapText="1"/>
    </xf>
    <xf numFmtId="2" fontId="52" fillId="0" borderId="5" xfId="0" applyNumberFormat="1" applyFont="1" applyFill="1" applyBorder="1" applyAlignment="1">
      <alignment horizontal="center" vertical="center"/>
    </xf>
    <xf numFmtId="2" fontId="41" fillId="0" borderId="6" xfId="4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/>
    </xf>
    <xf numFmtId="164" fontId="39" fillId="0" borderId="6" xfId="1" applyNumberFormat="1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43" fontId="10" fillId="2" borderId="18" xfId="1" applyFont="1" applyFill="1" applyBorder="1" applyAlignment="1">
      <alignment horizontal="center" vertical="center" wrapText="1"/>
    </xf>
    <xf numFmtId="2" fontId="3" fillId="0" borderId="6" xfId="4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17" xfId="4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3" fillId="0" borderId="7" xfId="4" applyNumberFormat="1" applyFont="1" applyFill="1" applyBorder="1" applyAlignment="1">
      <alignment horizontal="center" vertical="center" wrapText="1"/>
    </xf>
    <xf numFmtId="43" fontId="4" fillId="2" borderId="6" xfId="1" applyNumberFormat="1" applyFont="1" applyFill="1" applyBorder="1" applyAlignment="1">
      <alignment horizontal="center" vertical="center"/>
    </xf>
    <xf numFmtId="43" fontId="10" fillId="0" borderId="40" xfId="1" applyFont="1" applyFill="1" applyBorder="1" applyAlignment="1">
      <alignment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18" xfId="1" applyFont="1" applyFill="1" applyBorder="1" applyAlignment="1">
      <alignment horizontal="center" vertical="center" wrapText="1"/>
    </xf>
    <xf numFmtId="2" fontId="41" fillId="0" borderId="18" xfId="4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43" fontId="10" fillId="0" borderId="7" xfId="4" applyNumberFormat="1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43" fontId="10" fillId="2" borderId="41" xfId="1" applyFont="1" applyFill="1" applyBorder="1" applyAlignment="1">
      <alignment horizontal="center" vertical="center" wrapText="1"/>
    </xf>
    <xf numFmtId="2" fontId="41" fillId="0" borderId="4" xfId="4" applyNumberFormat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42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center" vertical="center" wrapText="1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9" xfId="4" applyNumberFormat="1" applyFont="1" applyFill="1" applyBorder="1" applyAlignment="1">
      <alignment horizontal="center" vertical="center" wrapText="1"/>
    </xf>
    <xf numFmtId="43" fontId="3" fillId="2" borderId="18" xfId="1" applyFont="1" applyFill="1" applyBorder="1" applyAlignment="1">
      <alignment horizontal="center" vertical="center" wrapText="1"/>
    </xf>
    <xf numFmtId="43" fontId="3" fillId="2" borderId="19" xfId="1" applyFont="1" applyFill="1" applyBorder="1" applyAlignment="1">
      <alignment horizontal="center" vertical="center" wrapText="1"/>
    </xf>
    <xf numFmtId="2" fontId="4" fillId="2" borderId="18" xfId="4" applyNumberFormat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166" fontId="3" fillId="2" borderId="20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21" fillId="3" borderId="6" xfId="0" quotePrefix="1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vertical="center" wrapText="1"/>
    </xf>
    <xf numFmtId="166" fontId="3" fillId="2" borderId="18" xfId="1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vertical="center" wrapText="1"/>
    </xf>
    <xf numFmtId="43" fontId="10" fillId="2" borderId="6" xfId="1" applyFont="1" applyFill="1" applyBorder="1" applyAlignment="1">
      <alignment vertical="center" wrapText="1"/>
    </xf>
    <xf numFmtId="166" fontId="10" fillId="2" borderId="6" xfId="1" applyNumberFormat="1" applyFont="1" applyFill="1" applyBorder="1" applyAlignment="1">
      <alignment vertical="center" wrapText="1"/>
    </xf>
    <xf numFmtId="166" fontId="10" fillId="2" borderId="7" xfId="1" applyNumberFormat="1" applyFont="1" applyFill="1" applyBorder="1" applyAlignment="1">
      <alignment vertical="center" wrapText="1"/>
    </xf>
    <xf numFmtId="43" fontId="10" fillId="2" borderId="7" xfId="4" applyNumberFormat="1" applyFont="1" applyFill="1" applyBorder="1" applyAlignment="1">
      <alignment vertical="center" wrapText="1"/>
    </xf>
    <xf numFmtId="43" fontId="10" fillId="2" borderId="16" xfId="1" applyFont="1" applyFill="1" applyBorder="1" applyAlignment="1">
      <alignment vertical="center" wrapText="1"/>
    </xf>
    <xf numFmtId="43" fontId="10" fillId="2" borderId="19" xfId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 wrapText="1"/>
    </xf>
    <xf numFmtId="2" fontId="15" fillId="2" borderId="6" xfId="4" applyNumberFormat="1" applyFont="1" applyFill="1" applyBorder="1" applyAlignment="1">
      <alignment horizontal="center" vertical="center" wrapText="1"/>
    </xf>
    <xf numFmtId="2" fontId="15" fillId="0" borderId="6" xfId="4" applyNumberFormat="1" applyFont="1" applyFill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/>
    </xf>
    <xf numFmtId="2" fontId="26" fillId="2" borderId="18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43" fontId="10" fillId="0" borderId="43" xfId="1" applyFont="1" applyFill="1" applyBorder="1" applyAlignment="1">
      <alignment vertical="center" wrapText="1"/>
    </xf>
    <xf numFmtId="2" fontId="3" fillId="0" borderId="19" xfId="4" applyNumberFormat="1" applyFont="1" applyFill="1" applyBorder="1" applyAlignment="1">
      <alignment horizontal="center" vertical="center" wrapText="1"/>
    </xf>
    <xf numFmtId="2" fontId="3" fillId="0" borderId="18" xfId="4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/>
    </xf>
    <xf numFmtId="0" fontId="10" fillId="2" borderId="41" xfId="4" applyFont="1" applyFill="1" applyBorder="1" applyAlignment="1">
      <alignment horizontal="center" vertical="center" wrapText="1"/>
    </xf>
    <xf numFmtId="43" fontId="10" fillId="0" borderId="41" xfId="1" applyFont="1" applyFill="1" applyBorder="1" applyAlignment="1">
      <alignment horizontal="center" vertical="center" wrapText="1"/>
    </xf>
    <xf numFmtId="43" fontId="10" fillId="2" borderId="5" xfId="1" applyFont="1" applyFill="1" applyBorder="1" applyAlignment="1">
      <alignment vertical="center" wrapText="1"/>
    </xf>
    <xf numFmtId="43" fontId="10" fillId="2" borderId="5" xfId="1" applyFont="1" applyFill="1" applyBorder="1" applyAlignment="1">
      <alignment horizontal="center" vertical="center" wrapText="1"/>
    </xf>
    <xf numFmtId="2" fontId="3" fillId="2" borderId="41" xfId="4" applyNumberFormat="1" applyFont="1" applyFill="1" applyBorder="1" applyAlignment="1">
      <alignment horizontal="center" vertical="center" wrapText="1"/>
    </xf>
    <xf numFmtId="2" fontId="10" fillId="0" borderId="6" xfId="4" applyNumberFormat="1" applyFont="1" applyFill="1" applyBorder="1" applyAlignment="1">
      <alignment horizontal="center" vertical="center" wrapText="1"/>
    </xf>
    <xf numFmtId="2" fontId="10" fillId="0" borderId="18" xfId="4" applyNumberFormat="1" applyFont="1" applyFill="1" applyBorder="1" applyAlignment="1">
      <alignment horizontal="center" vertical="center" wrapText="1"/>
    </xf>
    <xf numFmtId="2" fontId="15" fillId="2" borderId="18" xfId="4" applyNumberFormat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2" fontId="10" fillId="0" borderId="6" xfId="4" applyNumberFormat="1" applyFont="1" applyFill="1" applyBorder="1" applyAlignment="1">
      <alignment vertical="center" wrapText="1"/>
    </xf>
    <xf numFmtId="43" fontId="10" fillId="0" borderId="6" xfId="1" applyFont="1" applyFill="1" applyBorder="1" applyAlignment="1">
      <alignment vertical="center" wrapText="1"/>
    </xf>
    <xf numFmtId="2" fontId="39" fillId="0" borderId="6" xfId="4" applyNumberFormat="1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2" fontId="10" fillId="0" borderId="4" xfId="4" applyNumberFormat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 wrapText="1"/>
    </xf>
    <xf numFmtId="43" fontId="10" fillId="0" borderId="7" xfId="1" applyFont="1" applyFill="1" applyBorder="1" applyAlignment="1">
      <alignment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43" fontId="15" fillId="2" borderId="6" xfId="1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2" fontId="26" fillId="2" borderId="17" xfId="0" applyNumberFormat="1" applyFont="1" applyFill="1" applyBorder="1" applyAlignment="1">
      <alignment vertical="center"/>
    </xf>
    <xf numFmtId="1" fontId="26" fillId="2" borderId="6" xfId="0" applyNumberFormat="1" applyFont="1" applyFill="1" applyBorder="1" applyAlignment="1">
      <alignment vertical="center"/>
    </xf>
    <xf numFmtId="0" fontId="10" fillId="2" borderId="17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43" fontId="10" fillId="2" borderId="19" xfId="1" applyFont="1" applyFill="1" applyBorder="1" applyAlignment="1">
      <alignment horizontal="center" vertical="center" wrapText="1"/>
    </xf>
    <xf numFmtId="43" fontId="10" fillId="2" borderId="7" xfId="1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vertical="center" wrapText="1"/>
    </xf>
    <xf numFmtId="167" fontId="3" fillId="2" borderId="18" xfId="1" applyNumberFormat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center" vertical="center"/>
    </xf>
    <xf numFmtId="43" fontId="10" fillId="0" borderId="18" xfId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0" fontId="6" fillId="2" borderId="18" xfId="4" applyFont="1" applyFill="1" applyBorder="1" applyAlignment="1">
      <alignment horizontal="center" vertical="center" wrapText="1"/>
    </xf>
    <xf numFmtId="0" fontId="15" fillId="2" borderId="18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wrapText="1"/>
    </xf>
    <xf numFmtId="0" fontId="22" fillId="3" borderId="18" xfId="0" applyFont="1" applyFill="1" applyBorder="1" applyAlignment="1">
      <alignment horizontal="justify" vertical="center" wrapText="1"/>
    </xf>
    <xf numFmtId="43" fontId="3" fillId="2" borderId="18" xfId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wrapText="1"/>
    </xf>
    <xf numFmtId="166" fontId="3" fillId="2" borderId="1" xfId="1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horizontal="center" wrapText="1"/>
    </xf>
    <xf numFmtId="166" fontId="3" fillId="2" borderId="5" xfId="1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wrapText="1"/>
    </xf>
    <xf numFmtId="43" fontId="10" fillId="0" borderId="18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right" vertical="center" wrapText="1"/>
    </xf>
    <xf numFmtId="43" fontId="10" fillId="2" borderId="19" xfId="1" applyFont="1" applyFill="1" applyBorder="1" applyAlignment="1">
      <alignment horizontal="right" vertical="center" wrapText="1"/>
    </xf>
    <xf numFmtId="43" fontId="3" fillId="2" borderId="5" xfId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right" vertical="center"/>
    </xf>
    <xf numFmtId="0" fontId="10" fillId="0" borderId="47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vertical="center" wrapText="1"/>
    </xf>
    <xf numFmtId="43" fontId="52" fillId="0" borderId="6" xfId="1" applyFont="1" applyFill="1" applyBorder="1"/>
    <xf numFmtId="2" fontId="27" fillId="0" borderId="6" xfId="0" applyNumberFormat="1" applyFont="1" applyFill="1" applyBorder="1" applyAlignment="1">
      <alignment horizontal="center" vertical="center"/>
    </xf>
    <xf numFmtId="43" fontId="52" fillId="0" borderId="6" xfId="1" applyFont="1" applyFill="1" applyBorder="1" applyAlignment="1">
      <alignment horizontal="center"/>
    </xf>
    <xf numFmtId="164" fontId="26" fillId="0" borderId="18" xfId="1" applyNumberFormat="1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/>
    </xf>
    <xf numFmtId="2" fontId="10" fillId="0" borderId="6" xfId="0" applyNumberFormat="1" applyFont="1" applyFill="1" applyBorder="1"/>
    <xf numFmtId="0" fontId="3" fillId="2" borderId="15" xfId="1" applyNumberFormat="1" applyFont="1" applyFill="1" applyBorder="1" applyAlignment="1">
      <alignment vertical="center"/>
    </xf>
    <xf numFmtId="167" fontId="10" fillId="0" borderId="6" xfId="1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right" vertical="center"/>
    </xf>
    <xf numFmtId="0" fontId="4" fillId="0" borderId="6" xfId="1" applyNumberFormat="1" applyFont="1" applyFill="1" applyBorder="1" applyAlignment="1">
      <alignment horizontal="right" vertical="center"/>
    </xf>
    <xf numFmtId="0" fontId="4" fillId="0" borderId="5" xfId="1" applyNumberFormat="1" applyFont="1" applyFill="1" applyBorder="1" applyAlignment="1">
      <alignment horizontal="right" vertical="center"/>
    </xf>
    <xf numFmtId="0" fontId="10" fillId="0" borderId="5" xfId="4" applyFont="1" applyFill="1" applyBorder="1" applyAlignment="1">
      <alignment horizontal="right" vertical="center" wrapText="1"/>
    </xf>
    <xf numFmtId="43" fontId="3" fillId="0" borderId="6" xfId="1" applyNumberFormat="1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right" vertical="center" wrapText="1"/>
    </xf>
    <xf numFmtId="43" fontId="10" fillId="0" borderId="7" xfId="1" applyFont="1" applyFill="1" applyBorder="1" applyAlignment="1">
      <alignment horizontal="right" vertical="center" wrapText="1"/>
    </xf>
    <xf numFmtId="2" fontId="25" fillId="0" borderId="7" xfId="0" applyNumberFormat="1" applyFont="1" applyFill="1" applyBorder="1" applyAlignment="1">
      <alignment horizontal="right" vertical="center"/>
    </xf>
    <xf numFmtId="2" fontId="25" fillId="0" borderId="19" xfId="0" applyNumberFormat="1" applyFont="1" applyFill="1" applyBorder="1" applyAlignment="1">
      <alignment horizontal="right" vertical="center"/>
    </xf>
    <xf numFmtId="0" fontId="22" fillId="3" borderId="15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166" fontId="4" fillId="2" borderId="13" xfId="1" applyNumberFormat="1" applyFont="1" applyFill="1" applyBorder="1" applyAlignment="1">
      <alignment horizontal="right" vertical="center"/>
    </xf>
    <xf numFmtId="0" fontId="10" fillId="0" borderId="7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48" fillId="0" borderId="0" xfId="0" applyFont="1" applyFill="1" applyProtection="1">
      <protection locked="0"/>
    </xf>
    <xf numFmtId="172" fontId="48" fillId="0" borderId="0" xfId="1" applyNumberFormat="1" applyFont="1" applyFill="1" applyProtection="1">
      <protection locked="0"/>
    </xf>
    <xf numFmtId="43" fontId="3" fillId="4" borderId="6" xfId="1" applyFont="1" applyFill="1" applyBorder="1" applyAlignment="1">
      <alignment horizontal="center" vertical="center"/>
    </xf>
    <xf numFmtId="0" fontId="49" fillId="0" borderId="0" xfId="0" applyFont="1" applyFill="1" applyProtection="1">
      <protection locked="0"/>
    </xf>
    <xf numFmtId="172" fontId="49" fillId="0" borderId="1" xfId="1" applyNumberFormat="1" applyFont="1" applyFill="1" applyBorder="1" applyAlignment="1" applyProtection="1">
      <alignment horizontal="center" vertical="center" wrapText="1"/>
    </xf>
    <xf numFmtId="172" fontId="48" fillId="0" borderId="0" xfId="0" applyNumberFormat="1" applyFont="1" applyFill="1" applyProtection="1">
      <protection locked="0"/>
    </xf>
    <xf numFmtId="172" fontId="48" fillId="0" borderId="0" xfId="1" applyNumberFormat="1" applyFont="1" applyFill="1" applyBorder="1" applyAlignment="1" applyProtection="1">
      <alignment horizontal="left" vertical="center"/>
    </xf>
    <xf numFmtId="172" fontId="48" fillId="0" borderId="0" xfId="1" applyNumberFormat="1" applyFont="1" applyFill="1" applyBorder="1" applyAlignment="1" applyProtection="1">
      <alignment vertical="center"/>
    </xf>
    <xf numFmtId="172" fontId="48" fillId="0" borderId="0" xfId="1" applyNumberFormat="1" applyFont="1" applyFill="1" applyBorder="1" applyAlignment="1" applyProtection="1">
      <alignment horizontal="center" vertical="center"/>
      <protection locked="0"/>
    </xf>
    <xf numFmtId="164" fontId="48" fillId="0" borderId="0" xfId="1" applyNumberFormat="1" applyFont="1" applyFill="1" applyBorder="1" applyAlignment="1" applyProtection="1">
      <alignment horizontal="center" vertical="center"/>
    </xf>
    <xf numFmtId="171" fontId="48" fillId="0" borderId="0" xfId="1" applyNumberFormat="1" applyFont="1" applyFill="1" applyBorder="1" applyAlignment="1" applyProtection="1">
      <alignment horizontal="center" vertical="center"/>
    </xf>
    <xf numFmtId="172" fontId="48" fillId="0" borderId="0" xfId="1" applyNumberFormat="1" applyFont="1" applyFill="1" applyBorder="1" applyAlignment="1" applyProtection="1">
      <alignment vertical="center"/>
      <protection locked="0"/>
    </xf>
    <xf numFmtId="172" fontId="48" fillId="0" borderId="0" xfId="1" applyNumberFormat="1" applyFont="1" applyFill="1" applyBorder="1" applyAlignment="1" applyProtection="1">
      <alignment horizontal="center" vertical="center"/>
    </xf>
    <xf numFmtId="171" fontId="55" fillId="0" borderId="0" xfId="1" applyNumberFormat="1" applyFont="1" applyFill="1" applyBorder="1" applyAlignment="1" applyProtection="1">
      <alignment horizontal="center" vertical="center"/>
    </xf>
    <xf numFmtId="172" fontId="48" fillId="0" borderId="0" xfId="1" applyNumberFormat="1" applyFont="1" applyFill="1" applyBorder="1" applyProtection="1">
      <protection locked="0"/>
    </xf>
    <xf numFmtId="173" fontId="48" fillId="0" borderId="0" xfId="0" applyNumberFormat="1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172" fontId="48" fillId="0" borderId="0" xfId="1" applyNumberFormat="1" applyFont="1" applyFill="1" applyAlignment="1" applyProtection="1">
      <alignment horizontal="center"/>
      <protection locked="0"/>
    </xf>
    <xf numFmtId="172" fontId="48" fillId="0" borderId="0" xfId="1" applyNumberFormat="1" applyFont="1" applyFill="1" applyAlignment="1" applyProtection="1">
      <protection locked="0"/>
    </xf>
    <xf numFmtId="172" fontId="48" fillId="0" borderId="1" xfId="10" applyNumberFormat="1" applyFont="1" applyFill="1" applyBorder="1" applyAlignment="1" applyProtection="1">
      <alignment horizontal="center" vertical="center"/>
      <protection locked="0"/>
    </xf>
    <xf numFmtId="164" fontId="48" fillId="0" borderId="0" xfId="1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protection locked="0"/>
    </xf>
    <xf numFmtId="164" fontId="48" fillId="0" borderId="0" xfId="0" applyNumberFormat="1" applyFont="1" applyFill="1" applyAlignment="1" applyProtection="1">
      <protection locked="0"/>
    </xf>
    <xf numFmtId="164" fontId="48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 locked="0"/>
    </xf>
    <xf numFmtId="171" fontId="48" fillId="0" borderId="0" xfId="1" applyNumberFormat="1" applyFont="1" applyFill="1" applyAlignment="1" applyProtection="1">
      <alignment horizontal="center"/>
      <protection locked="0"/>
    </xf>
    <xf numFmtId="164" fontId="48" fillId="0" borderId="0" xfId="0" applyNumberFormat="1" applyFont="1" applyFill="1" applyProtection="1">
      <protection locked="0"/>
    </xf>
    <xf numFmtId="0" fontId="48" fillId="0" borderId="0" xfId="0" applyFont="1" applyFill="1" applyAlignment="1" applyProtection="1">
      <alignment horizontal="right"/>
      <protection locked="0"/>
    </xf>
    <xf numFmtId="172" fontId="38" fillId="0" borderId="0" xfId="1" applyNumberFormat="1" applyFont="1" applyFill="1" applyBorder="1" applyAlignment="1" applyProtection="1">
      <protection locked="0"/>
    </xf>
    <xf numFmtId="164" fontId="48" fillId="0" borderId="0" xfId="1" applyNumberFormat="1" applyFont="1" applyFill="1" applyAlignment="1" applyProtection="1">
      <alignment horizontal="center"/>
      <protection locked="0"/>
    </xf>
    <xf numFmtId="172" fontId="48" fillId="0" borderId="0" xfId="0" applyNumberFormat="1" applyFont="1" applyFill="1" applyAlignment="1" applyProtection="1">
      <protection locked="0"/>
    </xf>
    <xf numFmtId="0" fontId="13" fillId="0" borderId="0" xfId="0" applyFont="1" applyFill="1" applyProtection="1">
      <protection locked="0"/>
    </xf>
    <xf numFmtId="172" fontId="13" fillId="0" borderId="1" xfId="1" applyNumberFormat="1" applyFont="1" applyFill="1" applyBorder="1" applyAlignment="1" applyProtection="1">
      <alignment horizontal="center" vertical="center" wrapText="1"/>
    </xf>
    <xf numFmtId="172" fontId="49" fillId="0" borderId="1" xfId="1" applyNumberFormat="1" applyFont="1" applyFill="1" applyBorder="1" applyAlignment="1" applyProtection="1">
      <alignment horizontal="center" vertical="center"/>
    </xf>
    <xf numFmtId="172" fontId="49" fillId="0" borderId="1" xfId="1" applyNumberFormat="1" applyFont="1" applyFill="1" applyBorder="1" applyAlignment="1" applyProtection="1">
      <alignment horizontal="left" vertical="center"/>
    </xf>
    <xf numFmtId="172" fontId="13" fillId="0" borderId="1" xfId="1" applyNumberFormat="1" applyFont="1" applyFill="1" applyBorder="1" applyAlignment="1" applyProtection="1">
      <alignment horizontal="center" vertical="center"/>
    </xf>
    <xf numFmtId="171" fontId="13" fillId="0" borderId="1" xfId="1" applyNumberFormat="1" applyFont="1" applyFill="1" applyBorder="1" applyAlignment="1" applyProtection="1">
      <alignment horizontal="center" vertical="center"/>
    </xf>
    <xf numFmtId="173" fontId="13" fillId="0" borderId="1" xfId="0" applyNumberFormat="1" applyFont="1" applyFill="1" applyBorder="1" applyAlignment="1" applyProtection="1">
      <alignment vertical="center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2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171" fontId="54" fillId="0" borderId="0" xfId="1" applyNumberFormat="1" applyFont="1" applyFill="1" applyBorder="1" applyAlignment="1" applyProtection="1">
      <alignment horizontal="center" vertical="center"/>
    </xf>
    <xf numFmtId="165" fontId="54" fillId="0" borderId="0" xfId="0" applyNumberFormat="1" applyFont="1" applyFill="1" applyBorder="1" applyProtection="1">
      <protection locked="0"/>
    </xf>
    <xf numFmtId="0" fontId="38" fillId="0" borderId="0" xfId="0" applyFont="1" applyFill="1" applyProtection="1">
      <protection locked="0"/>
    </xf>
    <xf numFmtId="0" fontId="55" fillId="0" borderId="0" xfId="0" applyFont="1" applyFill="1" applyProtection="1">
      <protection locked="0"/>
    </xf>
    <xf numFmtId="172" fontId="38" fillId="0" borderId="0" xfId="1" applyNumberFormat="1" applyFont="1" applyFill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protection locked="0"/>
    </xf>
    <xf numFmtId="172" fontId="38" fillId="0" borderId="0" xfId="1" applyNumberFormat="1" applyFont="1" applyFill="1" applyProtection="1">
      <protection locked="0"/>
    </xf>
    <xf numFmtId="172" fontId="38" fillId="0" borderId="0" xfId="0" applyNumberFormat="1" applyFont="1" applyFill="1" applyProtection="1">
      <protection locked="0"/>
    </xf>
    <xf numFmtId="174" fontId="38" fillId="0" borderId="0" xfId="0" applyNumberFormat="1" applyFont="1" applyFill="1" applyProtection="1">
      <protection locked="0"/>
    </xf>
    <xf numFmtId="171" fontId="13" fillId="0" borderId="1" xfId="10" applyNumberFormat="1" applyFont="1" applyFill="1" applyBorder="1" applyAlignment="1" applyProtection="1">
      <alignment horizontal="center" vertical="center"/>
    </xf>
    <xf numFmtId="172" fontId="48" fillId="0" borderId="1" xfId="10" applyNumberFormat="1" applyFont="1" applyFill="1" applyBorder="1" applyAlignment="1" applyProtection="1">
      <alignment horizontal="center" vertical="center"/>
    </xf>
    <xf numFmtId="172" fontId="48" fillId="0" borderId="1" xfId="10" applyNumberFormat="1" applyFont="1" applyFill="1" applyBorder="1" applyAlignment="1" applyProtection="1">
      <alignment horizontal="left" vertical="center"/>
    </xf>
    <xf numFmtId="172" fontId="6" fillId="0" borderId="1" xfId="10" applyNumberFormat="1" applyFont="1" applyFill="1" applyBorder="1" applyAlignment="1" applyProtection="1">
      <alignment horizontal="center" vertical="center"/>
    </xf>
    <xf numFmtId="172" fontId="6" fillId="0" borderId="1" xfId="10" applyNumberFormat="1" applyFont="1" applyFill="1" applyBorder="1" applyAlignment="1" applyProtection="1">
      <alignment horizontal="center" vertical="center"/>
      <protection locked="0"/>
    </xf>
    <xf numFmtId="171" fontId="6" fillId="0" borderId="1" xfId="10" applyNumberFormat="1" applyFont="1" applyFill="1" applyBorder="1" applyAlignment="1" applyProtection="1">
      <alignment horizontal="center" vertical="center"/>
    </xf>
    <xf numFmtId="172" fontId="6" fillId="2" borderId="1" xfId="10" applyNumberFormat="1" applyFont="1" applyFill="1" applyBorder="1" applyAlignment="1" applyProtection="1">
      <alignment horizontal="center" vertical="center"/>
      <protection locked="0"/>
    </xf>
    <xf numFmtId="173" fontId="6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Protection="1">
      <protection locked="0"/>
    </xf>
    <xf numFmtId="171" fontId="38" fillId="0" borderId="0" xfId="1" applyNumberFormat="1" applyFont="1" applyFill="1" applyBorder="1" applyAlignment="1" applyProtection="1">
      <alignment horizontal="center" vertical="center"/>
    </xf>
    <xf numFmtId="172" fontId="48" fillId="5" borderId="1" xfId="10" applyNumberFormat="1" applyFont="1" applyFill="1" applyBorder="1" applyAlignment="1" applyProtection="1">
      <alignment horizontal="center" vertical="center"/>
    </xf>
    <xf numFmtId="164" fontId="48" fillId="0" borderId="1" xfId="10" applyNumberFormat="1" applyFont="1" applyFill="1" applyBorder="1" applyAlignment="1" applyProtection="1">
      <alignment horizontal="center" vertical="center"/>
      <protection locked="0"/>
    </xf>
    <xf numFmtId="172" fontId="48" fillId="5" borderId="1" xfId="10" applyNumberFormat="1" applyFont="1" applyFill="1" applyBorder="1" applyAlignment="1" applyProtection="1">
      <alignment horizontal="center" vertical="center"/>
      <protection locked="0"/>
    </xf>
    <xf numFmtId="0" fontId="10" fillId="2" borderId="17" xfId="4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44" xfId="4" applyFont="1" applyFill="1" applyBorder="1" applyAlignment="1">
      <alignment horizontal="center" vertical="center" wrapText="1"/>
    </xf>
    <xf numFmtId="0" fontId="10" fillId="2" borderId="41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10" fillId="2" borderId="45" xfId="4" applyFont="1" applyFill="1" applyBorder="1" applyAlignment="1">
      <alignment horizontal="center" vertical="center" wrapText="1"/>
    </xf>
    <xf numFmtId="0" fontId="10" fillId="2" borderId="46" xfId="4" applyFont="1" applyFill="1" applyBorder="1" applyAlignment="1">
      <alignment horizontal="center" vertical="center" wrapText="1"/>
    </xf>
    <xf numFmtId="43" fontId="10" fillId="0" borderId="17" xfId="1" applyFont="1" applyFill="1" applyBorder="1" applyAlignment="1">
      <alignment horizontal="center" vertical="center" wrapText="1"/>
    </xf>
    <xf numFmtId="43" fontId="10" fillId="0" borderId="19" xfId="1" applyFont="1" applyFill="1" applyBorder="1" applyAlignment="1">
      <alignment horizontal="center" vertical="center" wrapText="1"/>
    </xf>
    <xf numFmtId="43" fontId="10" fillId="0" borderId="14" xfId="1" applyFont="1" applyFill="1" applyBorder="1" applyAlignment="1">
      <alignment horizontal="center" vertical="center" wrapText="1"/>
    </xf>
    <xf numFmtId="43" fontId="10" fillId="0" borderId="16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horizontal="center" vertical="center" wrapText="1"/>
    </xf>
    <xf numFmtId="43" fontId="10" fillId="2" borderId="17" xfId="1" applyFont="1" applyFill="1" applyBorder="1" applyAlignment="1">
      <alignment horizontal="center" vertical="center" wrapText="1"/>
    </xf>
    <xf numFmtId="43" fontId="10" fillId="2" borderId="19" xfId="1" applyFont="1" applyFill="1" applyBorder="1" applyAlignment="1">
      <alignment horizontal="center" vertical="center" wrapText="1"/>
    </xf>
    <xf numFmtId="43" fontId="10" fillId="2" borderId="14" xfId="1" applyFont="1" applyFill="1" applyBorder="1" applyAlignment="1">
      <alignment horizontal="center" vertical="center" wrapText="1"/>
    </xf>
    <xf numFmtId="43" fontId="10" fillId="2" borderId="16" xfId="1" applyFont="1" applyFill="1" applyBorder="1" applyAlignment="1">
      <alignment horizontal="center" vertical="center" wrapText="1"/>
    </xf>
    <xf numFmtId="0" fontId="10" fillId="2" borderId="15" xfId="4" applyFont="1" applyFill="1" applyBorder="1" applyAlignment="1">
      <alignment horizontal="center" vertical="center" wrapText="1"/>
    </xf>
    <xf numFmtId="0" fontId="10" fillId="2" borderId="21" xfId="4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center" wrapText="1"/>
    </xf>
    <xf numFmtId="0" fontId="19" fillId="2" borderId="9" xfId="4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1" fontId="7" fillId="2" borderId="0" xfId="3" applyFont="1" applyFill="1" applyAlignment="1">
      <alignment horizontal="left"/>
    </xf>
    <xf numFmtId="1" fontId="19" fillId="2" borderId="1" xfId="3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 wrapText="1"/>
    </xf>
    <xf numFmtId="1" fontId="18" fillId="2" borderId="0" xfId="3" applyFont="1" applyFill="1" applyBorder="1" applyAlignment="1">
      <alignment horizontal="center"/>
    </xf>
    <xf numFmtId="165" fontId="11" fillId="2" borderId="0" xfId="3" applyNumberFormat="1" applyFont="1" applyFill="1" applyBorder="1" applyAlignment="1">
      <alignment horizontal="center" wrapText="1"/>
    </xf>
    <xf numFmtId="0" fontId="12" fillId="2" borderId="12" xfId="1" applyNumberFormat="1" applyFont="1" applyFill="1" applyBorder="1" applyAlignment="1">
      <alignment horizontal="center" vertical="center" wrapText="1"/>
    </xf>
    <xf numFmtId="0" fontId="12" fillId="2" borderId="13" xfId="1" applyNumberFormat="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left" vertical="center" wrapText="1"/>
    </xf>
    <xf numFmtId="0" fontId="12" fillId="2" borderId="9" xfId="4" applyFont="1" applyFill="1" applyBorder="1" applyAlignment="1">
      <alignment horizontal="left" vertical="center" wrapText="1"/>
    </xf>
    <xf numFmtId="0" fontId="12" fillId="2" borderId="3" xfId="4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1" fontId="18" fillId="2" borderId="10" xfId="3" applyFont="1" applyFill="1" applyBorder="1" applyAlignment="1">
      <alignment horizontal="center"/>
    </xf>
    <xf numFmtId="1" fontId="14" fillId="2" borderId="1" xfId="3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1" fontId="14" fillId="2" borderId="12" xfId="3" applyFont="1" applyFill="1" applyBorder="1" applyAlignment="1">
      <alignment horizontal="center" vertical="center"/>
    </xf>
    <xf numFmtId="1" fontId="14" fillId="2" borderId="13" xfId="3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 wrapText="1"/>
    </xf>
    <xf numFmtId="0" fontId="14" fillId="2" borderId="13" xfId="4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12" fillId="2" borderId="9" xfId="1" applyNumberFormat="1" applyFont="1" applyFill="1" applyBorder="1" applyAlignment="1">
      <alignment horizontal="center" vertical="center" wrapText="1"/>
    </xf>
    <xf numFmtId="0" fontId="12" fillId="2" borderId="3" xfId="1" applyNumberFormat="1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3" fillId="2" borderId="15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165" fontId="6" fillId="2" borderId="48" xfId="1" applyNumberFormat="1" applyFont="1" applyFill="1" applyBorder="1" applyAlignment="1">
      <alignment horizontal="center" vertical="center" wrapText="1"/>
    </xf>
    <xf numFmtId="165" fontId="6" fillId="2" borderId="49" xfId="1" applyNumberFormat="1" applyFont="1" applyFill="1" applyBorder="1" applyAlignment="1">
      <alignment horizontal="center" vertical="center" wrapText="1"/>
    </xf>
    <xf numFmtId="165" fontId="6" fillId="2" borderId="20" xfId="1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6" fillId="2" borderId="17" xfId="1" applyNumberFormat="1" applyFont="1" applyFill="1" applyBorder="1" applyAlignment="1">
      <alignment horizontal="center" vertical="center" wrapText="1"/>
    </xf>
    <xf numFmtId="165" fontId="6" fillId="2" borderId="45" xfId="1" applyNumberFormat="1" applyFont="1" applyFill="1" applyBorder="1" applyAlignment="1">
      <alignment horizontal="center" vertical="center" wrapText="1"/>
    </xf>
    <xf numFmtId="165" fontId="6" fillId="2" borderId="19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5" fontId="6" fillId="2" borderId="46" xfId="1" applyNumberFormat="1" applyFont="1" applyFill="1" applyBorder="1" applyAlignment="1">
      <alignment horizontal="center" vertical="center" wrapText="1"/>
    </xf>
    <xf numFmtId="165" fontId="6" fillId="2" borderId="16" xfId="1" applyNumberFormat="1" applyFont="1" applyFill="1" applyBorder="1" applyAlignment="1">
      <alignment horizontal="center" vertical="center" wrapText="1"/>
    </xf>
    <xf numFmtId="172" fontId="49" fillId="0" borderId="0" xfId="1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/>
      <protection locked="0"/>
    </xf>
    <xf numFmtId="172" fontId="13" fillId="0" borderId="1" xfId="1" applyNumberFormat="1" applyFont="1" applyFill="1" applyBorder="1" applyAlignment="1" applyProtection="1">
      <alignment horizontal="center" vertical="center"/>
    </xf>
    <xf numFmtId="172" fontId="13" fillId="0" borderId="1" xfId="1" applyNumberFormat="1" applyFont="1" applyFill="1" applyBorder="1" applyAlignment="1" applyProtection="1">
      <alignment horizontal="center" vertical="center" wrapText="1"/>
    </xf>
    <xf numFmtId="172" fontId="38" fillId="0" borderId="0" xfId="1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172" fontId="48" fillId="0" borderId="0" xfId="1" applyNumberFormat="1" applyFont="1" applyFill="1" applyBorder="1" applyAlignment="1" applyProtection="1">
      <alignment horizontal="center" vertical="center"/>
      <protection locked="0"/>
    </xf>
    <xf numFmtId="172" fontId="38" fillId="0" borderId="0" xfId="1" applyNumberFormat="1" applyFont="1" applyFill="1" applyBorder="1" applyAlignment="1" applyProtection="1">
      <alignment horizontal="center" vertical="center"/>
      <protection locked="0"/>
    </xf>
    <xf numFmtId="172" fontId="49" fillId="0" borderId="1" xfId="1" applyNumberFormat="1" applyFont="1" applyFill="1" applyBorder="1" applyAlignment="1" applyProtection="1">
      <alignment horizontal="center" vertical="center"/>
    </xf>
    <xf numFmtId="172" fontId="49" fillId="0" borderId="1" xfId="1" applyNumberFormat="1" applyFont="1" applyFill="1" applyBorder="1" applyAlignment="1" applyProtection="1">
      <alignment horizontal="center" vertical="center" wrapText="1"/>
    </xf>
    <xf numFmtId="172" fontId="48" fillId="0" borderId="0" xfId="1" applyNumberFormat="1" applyFont="1" applyFill="1" applyAlignment="1" applyProtection="1">
      <alignment horizontal="center"/>
      <protection locked="0"/>
    </xf>
    <xf numFmtId="164" fontId="49" fillId="0" borderId="1" xfId="1" applyNumberFormat="1" applyFont="1" applyFill="1" applyBorder="1" applyAlignment="1" applyProtection="1">
      <alignment horizontal="center" vertical="center" wrapText="1"/>
    </xf>
    <xf numFmtId="172" fontId="48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173" fontId="48" fillId="0" borderId="18" xfId="0" applyNumberFormat="1" applyFont="1" applyFill="1" applyBorder="1" applyAlignment="1">
      <alignment horizontal="center" vertical="center" wrapText="1"/>
    </xf>
    <xf numFmtId="173" fontId="48" fillId="0" borderId="5" xfId="0" applyNumberFormat="1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0" fontId="5" fillId="0" borderId="31" xfId="0" applyNumberFormat="1" applyFont="1" applyFill="1" applyBorder="1" applyAlignment="1">
      <alignment horizontal="center" vertical="center" wrapText="1"/>
    </xf>
    <xf numFmtId="170" fontId="5" fillId="0" borderId="33" xfId="0" applyNumberFormat="1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/>
    </xf>
    <xf numFmtId="3" fontId="36" fillId="0" borderId="0" xfId="6" applyNumberFormat="1" applyFont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6" fillId="2" borderId="17" xfId="4" applyFont="1" applyFill="1" applyBorder="1" applyAlignment="1">
      <alignment horizontal="center" vertical="center" wrapText="1"/>
    </xf>
    <xf numFmtId="0" fontId="6" fillId="2" borderId="19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167" fontId="3" fillId="2" borderId="18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0" fontId="51" fillId="2" borderId="15" xfId="4" applyFont="1" applyFill="1" applyBorder="1" applyAlignment="1">
      <alignment horizontal="center" vertical="center" wrapText="1"/>
    </xf>
    <xf numFmtId="0" fontId="51" fillId="2" borderId="7" xfId="4" applyFont="1" applyFill="1" applyBorder="1" applyAlignment="1">
      <alignment horizontal="center" vertical="center" wrapText="1"/>
    </xf>
    <xf numFmtId="15" fontId="12" fillId="2" borderId="12" xfId="1" quotePrefix="1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10" xfId="5"/>
    <cellStyle name="Comma 12" xfId="8"/>
    <cellStyle name="Comma 2" xfId="9"/>
    <cellStyle name="Comma 2_bao cao cua UBND tinh quy II - 2011" xfId="7"/>
    <cellStyle name="Comma 3 2" xfId="10"/>
    <cellStyle name="Normal" xfId="0" builtinId="0"/>
    <cellStyle name="Normal_Bieu BC cap Huyen - Xa " xfId="3"/>
    <cellStyle name="Normal_Chi tieu KH 2008" xfId="6"/>
    <cellStyle name="Normal_Sheet1" xfId="2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workbookViewId="0">
      <pane ySplit="7" topLeftCell="A56" activePane="bottomLeft" state="frozen"/>
      <selection pane="bottomLeft" activeCell="A72" sqref="A72:C72"/>
    </sheetView>
  </sheetViews>
  <sheetFormatPr defaultRowHeight="12.75" x14ac:dyDescent="0.2"/>
  <cols>
    <col min="1" max="1" width="5.125" style="7" customWidth="1"/>
    <col min="2" max="2" width="25" style="7" customWidth="1"/>
    <col min="3" max="3" width="6" style="7" customWidth="1"/>
    <col min="4" max="10" width="7.75" style="7" customWidth="1"/>
    <col min="11" max="11" width="8.25" style="7" customWidth="1"/>
    <col min="12" max="20" width="8.875" style="7" customWidth="1"/>
    <col min="21" max="23" width="9.125" style="7" hidden="1" customWidth="1"/>
    <col min="24" max="26" width="8.875" style="7" hidden="1" customWidth="1"/>
    <col min="27" max="29" width="8.25" style="7" hidden="1" customWidth="1"/>
    <col min="30" max="32" width="8" style="7" hidden="1" customWidth="1"/>
    <col min="33" max="35" width="7.375" style="7" hidden="1" customWidth="1"/>
    <col min="36" max="37" width="4.625" style="7" hidden="1" customWidth="1"/>
    <col min="38" max="38" width="0.125" style="7" hidden="1" customWidth="1"/>
    <col min="39" max="39" width="0.75" style="7" hidden="1" customWidth="1"/>
    <col min="40" max="41" width="9" style="7" hidden="1" customWidth="1"/>
    <col min="42" max="42" width="0" style="7" hidden="1" customWidth="1"/>
    <col min="43" max="16384" width="9" style="7"/>
  </cols>
  <sheetData>
    <row r="1" spans="1:39" ht="15.75" x14ac:dyDescent="0.25">
      <c r="A1" s="633" t="s">
        <v>62</v>
      </c>
      <c r="B1" s="63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.75" customHeight="1" x14ac:dyDescent="0.25">
      <c r="A2" s="637" t="s">
        <v>37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ht="15.75" x14ac:dyDescent="0.25">
      <c r="A3" s="636" t="s">
        <v>274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145"/>
      <c r="S3" s="145"/>
      <c r="T3" s="145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39" ht="15.75" x14ac:dyDescent="0.25">
      <c r="A4" s="141"/>
      <c r="B4" s="141"/>
      <c r="C4" s="141"/>
      <c r="D4" s="141"/>
      <c r="E4" s="141"/>
      <c r="F4" s="141"/>
      <c r="G4" s="141"/>
      <c r="H4" s="141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</row>
    <row r="5" spans="1:39" s="59" customFormat="1" ht="12.75" customHeight="1" x14ac:dyDescent="0.2">
      <c r="A5" s="634" t="s">
        <v>9</v>
      </c>
      <c r="B5" s="635" t="s">
        <v>10</v>
      </c>
      <c r="C5" s="635" t="s">
        <v>11</v>
      </c>
      <c r="D5" s="629" t="s">
        <v>38</v>
      </c>
      <c r="E5" s="630"/>
      <c r="F5" s="629" t="s">
        <v>41</v>
      </c>
      <c r="G5" s="631"/>
      <c r="H5" s="630"/>
      <c r="I5" s="629" t="s">
        <v>40</v>
      </c>
      <c r="J5" s="631"/>
      <c r="K5" s="630"/>
      <c r="L5" s="629" t="s">
        <v>43</v>
      </c>
      <c r="M5" s="631"/>
      <c r="N5" s="630"/>
      <c r="O5" s="629" t="s">
        <v>45</v>
      </c>
      <c r="P5" s="631"/>
      <c r="Q5" s="630"/>
      <c r="R5" s="629" t="s">
        <v>47</v>
      </c>
      <c r="S5" s="631"/>
      <c r="T5" s="630"/>
      <c r="U5" s="629" t="s">
        <v>49</v>
      </c>
      <c r="V5" s="631"/>
      <c r="W5" s="630"/>
      <c r="X5" s="629" t="s">
        <v>50</v>
      </c>
      <c r="Y5" s="631"/>
      <c r="Z5" s="630"/>
      <c r="AA5" s="629" t="s">
        <v>51</v>
      </c>
      <c r="AB5" s="631"/>
      <c r="AC5" s="630"/>
      <c r="AD5" s="629" t="s">
        <v>52</v>
      </c>
      <c r="AE5" s="631"/>
      <c r="AF5" s="630"/>
      <c r="AG5" s="629" t="s">
        <v>53</v>
      </c>
      <c r="AH5" s="631"/>
      <c r="AI5" s="630"/>
      <c r="AJ5" s="629" t="s">
        <v>54</v>
      </c>
      <c r="AK5" s="631"/>
      <c r="AL5" s="630"/>
      <c r="AM5" s="632" t="s">
        <v>2</v>
      </c>
    </row>
    <row r="6" spans="1:39" s="59" customFormat="1" ht="49.5" customHeight="1" x14ac:dyDescent="0.2">
      <c r="A6" s="634"/>
      <c r="B6" s="635"/>
      <c r="C6" s="635"/>
      <c r="D6" s="60" t="s">
        <v>60</v>
      </c>
      <c r="E6" s="60" t="s">
        <v>273</v>
      </c>
      <c r="F6" s="60" t="s">
        <v>60</v>
      </c>
      <c r="G6" s="60" t="s">
        <v>61</v>
      </c>
      <c r="H6" s="60" t="s">
        <v>39</v>
      </c>
      <c r="I6" s="60" t="s">
        <v>60</v>
      </c>
      <c r="J6" s="60" t="s">
        <v>61</v>
      </c>
      <c r="K6" s="60" t="s">
        <v>42</v>
      </c>
      <c r="L6" s="60" t="s">
        <v>60</v>
      </c>
      <c r="M6" s="60" t="s">
        <v>61</v>
      </c>
      <c r="N6" s="60" t="s">
        <v>44</v>
      </c>
      <c r="O6" s="60" t="s">
        <v>60</v>
      </c>
      <c r="P6" s="60" t="s">
        <v>61</v>
      </c>
      <c r="Q6" s="60" t="s">
        <v>46</v>
      </c>
      <c r="R6" s="60" t="s">
        <v>60</v>
      </c>
      <c r="S6" s="60" t="s">
        <v>61</v>
      </c>
      <c r="T6" s="60" t="s">
        <v>48</v>
      </c>
      <c r="U6" s="60" t="s">
        <v>60</v>
      </c>
      <c r="V6" s="60" t="s">
        <v>61</v>
      </c>
      <c r="W6" s="60" t="s">
        <v>55</v>
      </c>
      <c r="X6" s="60" t="s">
        <v>60</v>
      </c>
      <c r="Y6" s="60" t="s">
        <v>61</v>
      </c>
      <c r="Z6" s="60" t="s">
        <v>56</v>
      </c>
      <c r="AA6" s="60" t="s">
        <v>60</v>
      </c>
      <c r="AB6" s="60" t="s">
        <v>61</v>
      </c>
      <c r="AC6" s="60" t="s">
        <v>57</v>
      </c>
      <c r="AD6" s="60" t="s">
        <v>60</v>
      </c>
      <c r="AE6" s="60" t="s">
        <v>61</v>
      </c>
      <c r="AF6" s="60" t="s">
        <v>58</v>
      </c>
      <c r="AG6" s="60" t="s">
        <v>60</v>
      </c>
      <c r="AH6" s="60" t="s">
        <v>61</v>
      </c>
      <c r="AI6" s="60" t="s">
        <v>26</v>
      </c>
      <c r="AJ6" s="60" t="s">
        <v>60</v>
      </c>
      <c r="AK6" s="60" t="s">
        <v>61</v>
      </c>
      <c r="AL6" s="60" t="s">
        <v>59</v>
      </c>
      <c r="AM6" s="632"/>
    </row>
    <row r="7" spans="1:39" x14ac:dyDescent="0.2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>
        <v>10</v>
      </c>
    </row>
    <row r="8" spans="1:39" x14ac:dyDescent="0.2">
      <c r="A8" s="12" t="s">
        <v>147</v>
      </c>
      <c r="B8" s="67" t="s">
        <v>148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2">
      <c r="A9" s="18" t="s">
        <v>12</v>
      </c>
      <c r="B9" s="628" t="s">
        <v>16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</row>
    <row r="10" spans="1:39" x14ac:dyDescent="0.2">
      <c r="A10" s="61">
        <v>1</v>
      </c>
      <c r="B10" s="93" t="s">
        <v>63</v>
      </c>
      <c r="C10" s="94"/>
      <c r="D10" s="6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6"/>
    </row>
    <row r="11" spans="1:39" x14ac:dyDescent="0.2">
      <c r="A11" s="62"/>
      <c r="B11" s="65" t="s">
        <v>64</v>
      </c>
      <c r="C11" s="66" t="s">
        <v>76</v>
      </c>
      <c r="D11" s="107">
        <f t="shared" ref="D11:E11" si="0">D13+D14</f>
        <v>477465</v>
      </c>
      <c r="E11" s="107">
        <f t="shared" si="0"/>
        <v>484455</v>
      </c>
      <c r="F11" s="107">
        <f t="shared" ref="F11:I11" si="1">F13+F14</f>
        <v>477285</v>
      </c>
      <c r="G11" s="107">
        <f t="shared" si="1"/>
        <v>484455</v>
      </c>
      <c r="H11" s="107">
        <f t="shared" si="1"/>
        <v>484455</v>
      </c>
      <c r="I11" s="107">
        <f t="shared" si="1"/>
        <v>469102</v>
      </c>
      <c r="J11" s="107">
        <f t="shared" ref="J11:L11" si="2">J13+J14</f>
        <v>484455</v>
      </c>
      <c r="K11" s="107">
        <f t="shared" si="2"/>
        <v>484455</v>
      </c>
      <c r="L11" s="107">
        <f t="shared" si="2"/>
        <v>469102</v>
      </c>
      <c r="M11" s="107">
        <f t="shared" ref="M11" si="3">M13+M14</f>
        <v>484455</v>
      </c>
      <c r="N11" s="107">
        <f>N13+N14</f>
        <v>484455</v>
      </c>
      <c r="O11" s="107">
        <f t="shared" ref="O11" si="4">O13+O14</f>
        <v>469102</v>
      </c>
      <c r="P11" s="107">
        <f>P13+P14</f>
        <v>484455</v>
      </c>
      <c r="Q11" s="107">
        <f>Q13+Q14</f>
        <v>484455</v>
      </c>
      <c r="R11" s="107">
        <f t="shared" ref="R11" si="5">R13+R14</f>
        <v>469102</v>
      </c>
      <c r="S11" s="107">
        <v>484532</v>
      </c>
      <c r="T11" s="107">
        <v>484532</v>
      </c>
      <c r="U11" s="107">
        <f t="shared" ref="U11" si="6">U13+U14</f>
        <v>462629</v>
      </c>
      <c r="V11" s="107">
        <f t="shared" ref="V11:X11" si="7">V13+V14</f>
        <v>469102</v>
      </c>
      <c r="W11" s="107">
        <f t="shared" si="7"/>
        <v>469102</v>
      </c>
      <c r="X11" s="107">
        <f t="shared" si="7"/>
        <v>462629</v>
      </c>
      <c r="Y11" s="107">
        <f t="shared" ref="Y11:AA11" si="8">Y13+Y14</f>
        <v>469102</v>
      </c>
      <c r="Z11" s="107">
        <f t="shared" si="8"/>
        <v>469102</v>
      </c>
      <c r="AA11" s="107">
        <f t="shared" si="8"/>
        <v>462629</v>
      </c>
      <c r="AB11" s="107">
        <f t="shared" ref="AB11:AD11" si="9">AB13+AB14</f>
        <v>469102</v>
      </c>
      <c r="AC11" s="107">
        <f t="shared" si="9"/>
        <v>469102</v>
      </c>
      <c r="AD11" s="107">
        <f t="shared" si="9"/>
        <v>462629</v>
      </c>
      <c r="AE11" s="107">
        <f t="shared" ref="AE11:AG11" si="10">AE13+AE14</f>
        <v>469102</v>
      </c>
      <c r="AF11" s="107">
        <f t="shared" si="10"/>
        <v>469102</v>
      </c>
      <c r="AG11" s="107">
        <f t="shared" si="10"/>
        <v>462629</v>
      </c>
      <c r="AH11" s="107">
        <f t="shared" ref="AH11:AI11" si="11">AH13+AH14</f>
        <v>469102</v>
      </c>
      <c r="AI11" s="107">
        <f t="shared" si="11"/>
        <v>469102</v>
      </c>
      <c r="AJ11" s="27"/>
      <c r="AK11" s="27"/>
      <c r="AL11" s="27"/>
      <c r="AM11" s="32"/>
    </row>
    <row r="12" spans="1:39" x14ac:dyDescent="0.2">
      <c r="A12" s="62"/>
      <c r="B12" s="148" t="s">
        <v>65</v>
      </c>
      <c r="C12" s="66"/>
      <c r="D12" s="99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99"/>
      <c r="V12" s="107"/>
      <c r="W12" s="107"/>
      <c r="X12" s="99"/>
      <c r="Y12" s="107"/>
      <c r="Z12" s="107"/>
      <c r="AA12" s="99"/>
      <c r="AB12" s="107"/>
      <c r="AC12" s="107"/>
      <c r="AD12" s="99"/>
      <c r="AE12" s="107"/>
      <c r="AF12" s="107"/>
      <c r="AG12" s="99"/>
      <c r="AH12" s="107"/>
      <c r="AI12" s="107"/>
      <c r="AJ12" s="27"/>
      <c r="AK12" s="27"/>
      <c r="AL12" s="27"/>
      <c r="AM12" s="32"/>
    </row>
    <row r="13" spans="1:39" x14ac:dyDescent="0.2">
      <c r="A13" s="62"/>
      <c r="B13" s="148" t="s">
        <v>66</v>
      </c>
      <c r="C13" s="66" t="s">
        <v>76</v>
      </c>
      <c r="D13" s="99">
        <v>84560</v>
      </c>
      <c r="E13" s="107">
        <v>86155</v>
      </c>
      <c r="F13" s="107">
        <v>85570</v>
      </c>
      <c r="G13" s="107">
        <v>86155</v>
      </c>
      <c r="H13" s="107">
        <v>86155</v>
      </c>
      <c r="I13" s="107">
        <v>84161</v>
      </c>
      <c r="J13" s="107">
        <v>86155</v>
      </c>
      <c r="K13" s="107">
        <v>86155</v>
      </c>
      <c r="L13" s="107">
        <v>84161</v>
      </c>
      <c r="M13" s="107">
        <v>86155</v>
      </c>
      <c r="N13" s="107">
        <v>86155</v>
      </c>
      <c r="O13" s="107">
        <v>84161</v>
      </c>
      <c r="P13" s="107">
        <v>86155</v>
      </c>
      <c r="Q13" s="107">
        <v>86155</v>
      </c>
      <c r="R13" s="107">
        <v>84161</v>
      </c>
      <c r="S13" s="107">
        <v>85617</v>
      </c>
      <c r="T13" s="107">
        <v>85617</v>
      </c>
      <c r="U13" s="99">
        <v>82594</v>
      </c>
      <c r="V13" s="107">
        <v>84161</v>
      </c>
      <c r="W13" s="107">
        <v>84161</v>
      </c>
      <c r="X13" s="99">
        <v>82594</v>
      </c>
      <c r="Y13" s="107">
        <v>84161</v>
      </c>
      <c r="Z13" s="107">
        <v>84161</v>
      </c>
      <c r="AA13" s="99">
        <v>82594</v>
      </c>
      <c r="AB13" s="107">
        <v>84161</v>
      </c>
      <c r="AC13" s="107">
        <v>84161</v>
      </c>
      <c r="AD13" s="99">
        <v>82594</v>
      </c>
      <c r="AE13" s="107">
        <v>84161</v>
      </c>
      <c r="AF13" s="107">
        <v>84161</v>
      </c>
      <c r="AG13" s="99">
        <v>82594</v>
      </c>
      <c r="AH13" s="107">
        <v>84161</v>
      </c>
      <c r="AI13" s="107">
        <v>84161</v>
      </c>
      <c r="AJ13" s="27"/>
      <c r="AK13" s="27"/>
      <c r="AL13" s="27"/>
      <c r="AM13" s="32"/>
    </row>
    <row r="14" spans="1:39" x14ac:dyDescent="0.2">
      <c r="A14" s="62"/>
      <c r="B14" s="148" t="s">
        <v>67</v>
      </c>
      <c r="C14" s="66" t="s">
        <v>76</v>
      </c>
      <c r="D14" s="99">
        <v>392905</v>
      </c>
      <c r="E14" s="107">
        <v>398300</v>
      </c>
      <c r="F14" s="107">
        <v>391715</v>
      </c>
      <c r="G14" s="107">
        <v>398300</v>
      </c>
      <c r="H14" s="107">
        <v>398300</v>
      </c>
      <c r="I14" s="107">
        <v>384941</v>
      </c>
      <c r="J14" s="107">
        <v>398300</v>
      </c>
      <c r="K14" s="107">
        <v>398300</v>
      </c>
      <c r="L14" s="107">
        <v>384941</v>
      </c>
      <c r="M14" s="107">
        <v>398300</v>
      </c>
      <c r="N14" s="107">
        <v>398300</v>
      </c>
      <c r="O14" s="107">
        <v>384941</v>
      </c>
      <c r="P14" s="107">
        <v>398300</v>
      </c>
      <c r="Q14" s="107">
        <v>398300</v>
      </c>
      <c r="R14" s="107">
        <v>384941</v>
      </c>
      <c r="S14" s="107">
        <v>398915</v>
      </c>
      <c r="T14" s="107">
        <v>398915</v>
      </c>
      <c r="U14" s="99">
        <v>380035</v>
      </c>
      <c r="V14" s="107">
        <v>384941</v>
      </c>
      <c r="W14" s="107">
        <v>384941</v>
      </c>
      <c r="X14" s="99">
        <v>380035</v>
      </c>
      <c r="Y14" s="107">
        <v>384941</v>
      </c>
      <c r="Z14" s="107">
        <v>384941</v>
      </c>
      <c r="AA14" s="99">
        <v>380035</v>
      </c>
      <c r="AB14" s="107">
        <v>384941</v>
      </c>
      <c r="AC14" s="107">
        <v>384941</v>
      </c>
      <c r="AD14" s="99">
        <v>380035</v>
      </c>
      <c r="AE14" s="107">
        <v>384941</v>
      </c>
      <c r="AF14" s="107">
        <v>384941</v>
      </c>
      <c r="AG14" s="99">
        <v>380035</v>
      </c>
      <c r="AH14" s="107">
        <v>384941</v>
      </c>
      <c r="AI14" s="107">
        <v>384941</v>
      </c>
      <c r="AJ14" s="27"/>
      <c r="AK14" s="27"/>
      <c r="AL14" s="27"/>
      <c r="AM14" s="32"/>
    </row>
    <row r="15" spans="1:39" hidden="1" x14ac:dyDescent="0.2">
      <c r="A15" s="62"/>
      <c r="B15" s="148" t="s">
        <v>68</v>
      </c>
      <c r="C15" s="66" t="s">
        <v>76</v>
      </c>
      <c r="D15" s="99">
        <v>391371</v>
      </c>
      <c r="E15" s="107"/>
      <c r="F15" s="99"/>
      <c r="G15" s="107"/>
      <c r="H15" s="107"/>
      <c r="I15" s="99"/>
      <c r="J15" s="107"/>
      <c r="K15" s="107"/>
      <c r="L15" s="99"/>
      <c r="M15" s="107"/>
      <c r="N15" s="107"/>
      <c r="O15" s="99"/>
      <c r="P15" s="107"/>
      <c r="Q15" s="107"/>
      <c r="R15" s="107"/>
      <c r="S15" s="107"/>
      <c r="T15" s="107"/>
      <c r="U15" s="99"/>
      <c r="V15" s="107"/>
      <c r="W15" s="107"/>
      <c r="X15" s="99"/>
      <c r="Y15" s="107"/>
      <c r="Z15" s="107"/>
      <c r="AA15" s="99"/>
      <c r="AB15" s="107"/>
      <c r="AC15" s="107"/>
      <c r="AD15" s="99"/>
      <c r="AE15" s="107"/>
      <c r="AF15" s="107"/>
      <c r="AG15" s="99"/>
      <c r="AH15" s="107"/>
      <c r="AI15" s="107"/>
      <c r="AJ15" s="27"/>
      <c r="AK15" s="27"/>
      <c r="AL15" s="27"/>
      <c r="AM15" s="32"/>
    </row>
    <row r="16" spans="1:39" x14ac:dyDescent="0.2">
      <c r="A16" s="415"/>
      <c r="B16" s="417" t="s">
        <v>268</v>
      </c>
      <c r="C16" s="66" t="s">
        <v>269</v>
      </c>
      <c r="D16" s="99"/>
      <c r="E16" s="107"/>
      <c r="F16" s="99"/>
      <c r="G16" s="107"/>
      <c r="H16" s="107"/>
      <c r="I16" s="99"/>
      <c r="J16" s="107"/>
      <c r="K16" s="107"/>
      <c r="L16" s="99"/>
      <c r="M16" s="107"/>
      <c r="N16" s="107"/>
      <c r="O16" s="99"/>
      <c r="P16" s="107"/>
      <c r="Q16" s="107"/>
      <c r="R16" s="107"/>
      <c r="S16" s="107"/>
      <c r="T16" s="107"/>
      <c r="U16" s="99"/>
      <c r="V16" s="107"/>
      <c r="W16" s="107"/>
      <c r="X16" s="99"/>
      <c r="Y16" s="107"/>
      <c r="Z16" s="107"/>
      <c r="AA16" s="99"/>
      <c r="AB16" s="107"/>
      <c r="AC16" s="107"/>
      <c r="AD16" s="99"/>
      <c r="AE16" s="107"/>
      <c r="AF16" s="107"/>
      <c r="AG16" s="99"/>
      <c r="AH16" s="107"/>
      <c r="AI16" s="107"/>
      <c r="AJ16" s="142"/>
      <c r="AK16" s="142"/>
      <c r="AL16" s="142"/>
      <c r="AM16" s="32"/>
    </row>
    <row r="17" spans="1:39" x14ac:dyDescent="0.2">
      <c r="A17" s="455"/>
      <c r="B17" s="417" t="s">
        <v>275</v>
      </c>
      <c r="C17" s="66" t="s">
        <v>76</v>
      </c>
      <c r="D17" s="99"/>
      <c r="E17" s="107"/>
      <c r="F17" s="99"/>
      <c r="G17" s="107"/>
      <c r="H17" s="107"/>
      <c r="I17" s="99"/>
      <c r="J17" s="107"/>
      <c r="K17" s="107"/>
      <c r="L17" s="99"/>
      <c r="M17" s="107"/>
      <c r="N17" s="107"/>
      <c r="O17" s="99"/>
      <c r="P17" s="107"/>
      <c r="Q17" s="107"/>
      <c r="R17" s="107"/>
      <c r="S17" s="107">
        <v>408103</v>
      </c>
      <c r="T17" s="107">
        <v>408103</v>
      </c>
      <c r="U17" s="99"/>
      <c r="V17" s="107"/>
      <c r="W17" s="107"/>
      <c r="X17" s="99"/>
      <c r="Y17" s="107"/>
      <c r="Z17" s="107"/>
      <c r="AA17" s="99"/>
      <c r="AB17" s="107"/>
      <c r="AC17" s="107"/>
      <c r="AD17" s="99"/>
      <c r="AE17" s="107"/>
      <c r="AF17" s="107"/>
      <c r="AG17" s="99"/>
      <c r="AH17" s="107"/>
      <c r="AI17" s="107"/>
      <c r="AJ17" s="422"/>
      <c r="AK17" s="422"/>
      <c r="AL17" s="422"/>
      <c r="AM17" s="32"/>
    </row>
    <row r="18" spans="1:39" ht="15.75" customHeight="1" x14ac:dyDescent="0.2">
      <c r="A18" s="62"/>
      <c r="B18" s="148" t="s">
        <v>69</v>
      </c>
      <c r="C18" s="66" t="s">
        <v>77</v>
      </c>
      <c r="D18" s="28"/>
      <c r="E18" s="28"/>
      <c r="F18" s="28"/>
      <c r="G18" s="28"/>
      <c r="H18" s="28"/>
      <c r="I18" s="422">
        <v>0.36</v>
      </c>
      <c r="J18" s="27"/>
      <c r="K18" s="27">
        <v>0.36</v>
      </c>
      <c r="L18" s="27"/>
      <c r="M18" s="27"/>
      <c r="N18" s="27"/>
      <c r="O18" s="27"/>
      <c r="P18" s="27"/>
      <c r="Q18" s="27"/>
      <c r="R18" s="422">
        <v>0.75</v>
      </c>
      <c r="S18" s="27"/>
      <c r="T18" s="27">
        <v>1.46</v>
      </c>
      <c r="U18" s="27"/>
      <c r="V18" s="27"/>
      <c r="W18" s="27"/>
      <c r="X18" s="27"/>
      <c r="Y18" s="27"/>
      <c r="Z18" s="27"/>
      <c r="AA18" s="142">
        <v>2.04</v>
      </c>
      <c r="AB18" s="27"/>
      <c r="AC18" s="27">
        <v>1.43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32"/>
    </row>
    <row r="19" spans="1:39" ht="15.75" customHeight="1" x14ac:dyDescent="0.2">
      <c r="A19" s="62"/>
      <c r="B19" s="148" t="s">
        <v>70</v>
      </c>
      <c r="C19" s="66" t="s">
        <v>78</v>
      </c>
      <c r="D19" s="28"/>
      <c r="E19" s="28"/>
      <c r="F19" s="28"/>
      <c r="G19" s="28"/>
      <c r="H19" s="28"/>
      <c r="I19" s="422">
        <v>0.6</v>
      </c>
      <c r="J19" s="27"/>
      <c r="K19" s="27">
        <v>0.4</v>
      </c>
      <c r="L19" s="27"/>
      <c r="M19" s="27"/>
      <c r="N19" s="27"/>
      <c r="O19" s="27"/>
      <c r="P19" s="27"/>
      <c r="Q19" s="27"/>
      <c r="R19" s="422">
        <v>0.55000000000000004</v>
      </c>
      <c r="S19" s="27"/>
      <c r="T19" s="27">
        <v>0.43</v>
      </c>
      <c r="U19" s="27"/>
      <c r="V19" s="27"/>
      <c r="W19" s="27"/>
      <c r="X19" s="27"/>
      <c r="Y19" s="27"/>
      <c r="Z19" s="27"/>
      <c r="AA19" s="142">
        <v>0.86</v>
      </c>
      <c r="AB19" s="27"/>
      <c r="AC19" s="27">
        <v>0.7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32"/>
    </row>
    <row r="20" spans="1:39" ht="15.75" customHeight="1" x14ac:dyDescent="0.2">
      <c r="A20" s="62"/>
      <c r="B20" s="148" t="s">
        <v>71</v>
      </c>
      <c r="C20" s="66" t="s">
        <v>79</v>
      </c>
      <c r="D20" s="28"/>
      <c r="E20" s="28"/>
      <c r="F20" s="28"/>
      <c r="G20" s="28"/>
      <c r="H20" s="28"/>
      <c r="I20" s="422">
        <v>3.86</v>
      </c>
      <c r="J20" s="27"/>
      <c r="K20" s="27">
        <v>3.52</v>
      </c>
      <c r="L20" s="27"/>
      <c r="M20" s="27"/>
      <c r="N20" s="27"/>
      <c r="O20" s="27"/>
      <c r="P20" s="27"/>
      <c r="Q20" s="27"/>
      <c r="R20" s="422">
        <v>7.78</v>
      </c>
      <c r="S20" s="27"/>
      <c r="T20" s="27">
        <v>14.16</v>
      </c>
      <c r="U20" s="27"/>
      <c r="V20" s="27"/>
      <c r="W20" s="27"/>
      <c r="X20" s="27"/>
      <c r="Y20" s="27"/>
      <c r="Z20" s="27"/>
      <c r="AA20" s="142">
        <v>15.75</v>
      </c>
      <c r="AB20" s="27"/>
      <c r="AC20" s="27">
        <v>14.51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32"/>
    </row>
    <row r="21" spans="1:39" ht="30" customHeight="1" x14ac:dyDescent="0.2">
      <c r="A21" s="62"/>
      <c r="B21" s="148" t="s">
        <v>72</v>
      </c>
      <c r="C21" s="66" t="s">
        <v>77</v>
      </c>
      <c r="D21" s="28"/>
      <c r="E21" s="28"/>
      <c r="F21" s="28"/>
      <c r="G21" s="28"/>
      <c r="H21" s="28"/>
      <c r="I21" s="457">
        <v>108</v>
      </c>
      <c r="J21" s="58"/>
      <c r="K21" s="58">
        <v>109</v>
      </c>
      <c r="L21" s="58"/>
      <c r="M21" s="58"/>
      <c r="N21" s="58"/>
      <c r="O21" s="58"/>
      <c r="P21" s="58"/>
      <c r="Q21" s="58"/>
      <c r="R21" s="472">
        <v>110</v>
      </c>
      <c r="S21" s="58"/>
      <c r="T21" s="58">
        <v>118.7</v>
      </c>
      <c r="U21" s="58"/>
      <c r="V21" s="58"/>
      <c r="W21" s="58"/>
      <c r="X21" s="58"/>
      <c r="Y21" s="58"/>
      <c r="Z21" s="58"/>
      <c r="AA21" s="382">
        <v>109.06</v>
      </c>
      <c r="AB21" s="58"/>
      <c r="AC21" s="58">
        <v>110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34"/>
    </row>
    <row r="22" spans="1:39" ht="15.75" customHeight="1" x14ac:dyDescent="0.2">
      <c r="A22" s="62">
        <v>2</v>
      </c>
      <c r="B22" s="149" t="s">
        <v>73</v>
      </c>
      <c r="C22" s="66"/>
      <c r="D22" s="28"/>
      <c r="E22" s="28"/>
      <c r="F22" s="28"/>
      <c r="G22" s="28"/>
      <c r="H22" s="28"/>
      <c r="I22" s="457"/>
      <c r="J22" s="58"/>
      <c r="K22" s="58"/>
      <c r="L22" s="58"/>
      <c r="M22" s="58"/>
      <c r="N22" s="58"/>
      <c r="O22" s="58"/>
      <c r="P22" s="58"/>
      <c r="Q22" s="58"/>
      <c r="R22" s="472"/>
      <c r="S22" s="58"/>
      <c r="T22" s="58"/>
      <c r="U22" s="58"/>
      <c r="V22" s="58"/>
      <c r="W22" s="58"/>
      <c r="X22" s="58"/>
      <c r="Y22" s="58"/>
      <c r="Z22" s="58"/>
      <c r="AA22" s="382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34"/>
    </row>
    <row r="23" spans="1:39" ht="25.5" customHeight="1" x14ac:dyDescent="0.2">
      <c r="A23" s="62"/>
      <c r="B23" s="148" t="s">
        <v>74</v>
      </c>
      <c r="C23" s="66" t="s">
        <v>77</v>
      </c>
      <c r="D23" s="28"/>
      <c r="E23" s="28"/>
      <c r="F23" s="28"/>
      <c r="G23" s="28"/>
      <c r="H23" s="28"/>
      <c r="I23" s="457">
        <v>70</v>
      </c>
      <c r="J23" s="58"/>
      <c r="K23" s="58">
        <v>70</v>
      </c>
      <c r="L23" s="58"/>
      <c r="M23" s="58"/>
      <c r="N23" s="58"/>
      <c r="O23" s="58"/>
      <c r="P23" s="58"/>
      <c r="Q23" s="58"/>
      <c r="R23" s="472">
        <v>69.5</v>
      </c>
      <c r="S23" s="58"/>
      <c r="T23" s="58">
        <v>69.83</v>
      </c>
      <c r="U23" s="58"/>
      <c r="V23" s="58"/>
      <c r="W23" s="58"/>
      <c r="X23" s="58"/>
      <c r="Y23" s="58"/>
      <c r="Z23" s="58"/>
      <c r="AA23" s="382">
        <v>70.19</v>
      </c>
      <c r="AB23" s="58"/>
      <c r="AC23" s="58">
        <v>69.44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36"/>
    </row>
    <row r="24" spans="1:39" ht="34.5" customHeight="1" x14ac:dyDescent="0.2">
      <c r="A24" s="68"/>
      <c r="B24" s="150" t="s">
        <v>75</v>
      </c>
      <c r="C24" s="70" t="s">
        <v>77</v>
      </c>
      <c r="D24" s="134"/>
      <c r="E24" s="134"/>
      <c r="F24" s="134"/>
      <c r="G24" s="134"/>
      <c r="H24" s="134"/>
      <c r="I24" s="71">
        <v>15.5</v>
      </c>
      <c r="J24" s="71"/>
      <c r="K24" s="71">
        <v>15.4</v>
      </c>
      <c r="L24" s="71"/>
      <c r="M24" s="71"/>
      <c r="N24" s="71"/>
      <c r="O24" s="71"/>
      <c r="P24" s="71"/>
      <c r="Q24" s="71"/>
      <c r="R24" s="71">
        <v>15.7</v>
      </c>
      <c r="S24" s="71"/>
      <c r="T24" s="71">
        <v>21.9</v>
      </c>
      <c r="U24" s="71"/>
      <c r="V24" s="71"/>
      <c r="W24" s="71"/>
      <c r="X24" s="71"/>
      <c r="Y24" s="71"/>
      <c r="Z24" s="71"/>
      <c r="AA24" s="71">
        <v>16.09</v>
      </c>
      <c r="AB24" s="71"/>
      <c r="AC24" s="71">
        <v>16.55</v>
      </c>
      <c r="AD24" s="71"/>
      <c r="AE24" s="71"/>
      <c r="AF24" s="71"/>
      <c r="AG24" s="401"/>
      <c r="AH24" s="401"/>
      <c r="AI24" s="401"/>
      <c r="AJ24" s="71"/>
      <c r="AK24" s="71"/>
      <c r="AL24" s="71"/>
      <c r="AM24" s="72"/>
    </row>
    <row r="25" spans="1:39" s="137" customFormat="1" x14ac:dyDescent="0.2">
      <c r="A25" s="74" t="s">
        <v>6</v>
      </c>
      <c r="B25" s="75" t="s">
        <v>18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399"/>
      <c r="AH25" s="400"/>
      <c r="AI25" s="400"/>
      <c r="AJ25" s="135"/>
      <c r="AK25" s="135"/>
      <c r="AL25" s="135"/>
      <c r="AM25" s="136"/>
    </row>
    <row r="26" spans="1:39" ht="15.75" customHeight="1" x14ac:dyDescent="0.2">
      <c r="A26" s="89" t="s">
        <v>12</v>
      </c>
      <c r="B26" s="151" t="s">
        <v>80</v>
      </c>
      <c r="C26" s="8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73"/>
    </row>
    <row r="27" spans="1:39" ht="15.75" customHeight="1" x14ac:dyDescent="0.2">
      <c r="A27" s="79">
        <v>1</v>
      </c>
      <c r="B27" s="152" t="s">
        <v>81</v>
      </c>
      <c r="C27" s="79" t="s">
        <v>82</v>
      </c>
      <c r="D27" s="449">
        <f>SUM(D28:D34)</f>
        <v>120</v>
      </c>
      <c r="E27" s="58">
        <f>SUM(E28:E34)</f>
        <v>120</v>
      </c>
      <c r="F27" s="450">
        <f>SUM(F28:F34)</f>
        <v>120</v>
      </c>
      <c r="G27" s="58">
        <f>SUM(G28:G34)</f>
        <v>120</v>
      </c>
      <c r="H27" s="58">
        <f>SUM(H28:H34)</f>
        <v>120</v>
      </c>
      <c r="I27" s="457">
        <f t="shared" ref="I27:L27" si="12">SUM(I28:I34)</f>
        <v>122</v>
      </c>
      <c r="J27" s="457">
        <f t="shared" si="12"/>
        <v>120</v>
      </c>
      <c r="K27" s="457">
        <f t="shared" si="12"/>
        <v>120</v>
      </c>
      <c r="L27" s="462">
        <f t="shared" si="12"/>
        <v>122</v>
      </c>
      <c r="M27" s="462">
        <f t="shared" ref="M27:O27" si="13">SUM(M28:M34)</f>
        <v>120</v>
      </c>
      <c r="N27" s="462">
        <f t="shared" si="13"/>
        <v>120</v>
      </c>
      <c r="O27" s="465">
        <f t="shared" si="13"/>
        <v>120</v>
      </c>
      <c r="P27" s="465">
        <f t="shared" ref="P27:Q27" si="14">SUM(P28:P34)</f>
        <v>120</v>
      </c>
      <c r="Q27" s="465">
        <f t="shared" si="14"/>
        <v>120</v>
      </c>
      <c r="R27" s="472">
        <v>120</v>
      </c>
      <c r="S27" s="472">
        <f t="shared" ref="S27:T27" si="15">SUM(S28:S34)</f>
        <v>120</v>
      </c>
      <c r="T27" s="472">
        <f t="shared" si="15"/>
        <v>120</v>
      </c>
      <c r="U27" s="364">
        <v>122</v>
      </c>
      <c r="V27" s="364">
        <v>120</v>
      </c>
      <c r="W27" s="364">
        <v>120</v>
      </c>
      <c r="X27" s="368">
        <v>122</v>
      </c>
      <c r="Y27" s="368">
        <v>120</v>
      </c>
      <c r="Z27" s="368">
        <v>120</v>
      </c>
      <c r="AA27" s="381">
        <v>122</v>
      </c>
      <c r="AB27" s="381">
        <v>120</v>
      </c>
      <c r="AC27" s="381">
        <v>120</v>
      </c>
      <c r="AD27" s="395">
        <v>122</v>
      </c>
      <c r="AE27" s="395">
        <v>120</v>
      </c>
      <c r="AF27" s="395">
        <v>120</v>
      </c>
      <c r="AG27" s="398">
        <v>122</v>
      </c>
      <c r="AH27" s="398">
        <v>120</v>
      </c>
      <c r="AI27" s="398">
        <v>120</v>
      </c>
      <c r="AJ27" s="58"/>
      <c r="AK27" s="58"/>
      <c r="AL27" s="58"/>
      <c r="AM27" s="36"/>
    </row>
    <row r="28" spans="1:39" ht="15.75" customHeight="1" x14ac:dyDescent="0.2">
      <c r="A28" s="80"/>
      <c r="B28" s="153" t="s">
        <v>83</v>
      </c>
      <c r="C28" s="80" t="s">
        <v>84</v>
      </c>
      <c r="D28" s="449">
        <v>1</v>
      </c>
      <c r="E28" s="58">
        <v>1</v>
      </c>
      <c r="F28" s="450">
        <v>1</v>
      </c>
      <c r="G28" s="58">
        <v>1</v>
      </c>
      <c r="H28" s="58">
        <v>1</v>
      </c>
      <c r="I28" s="457">
        <v>1</v>
      </c>
      <c r="J28" s="457">
        <v>1</v>
      </c>
      <c r="K28" s="457">
        <v>1</v>
      </c>
      <c r="L28" s="462">
        <v>1</v>
      </c>
      <c r="M28" s="462">
        <v>1</v>
      </c>
      <c r="N28" s="462">
        <v>1</v>
      </c>
      <c r="O28" s="465">
        <v>1</v>
      </c>
      <c r="P28" s="465">
        <v>1</v>
      </c>
      <c r="Q28" s="465">
        <v>1</v>
      </c>
      <c r="R28" s="472">
        <v>1</v>
      </c>
      <c r="S28" s="472">
        <v>1</v>
      </c>
      <c r="T28" s="472">
        <v>1</v>
      </c>
      <c r="U28" s="364">
        <v>1</v>
      </c>
      <c r="V28" s="364">
        <v>1</v>
      </c>
      <c r="W28" s="364">
        <v>1</v>
      </c>
      <c r="X28" s="368">
        <v>1</v>
      </c>
      <c r="Y28" s="368">
        <v>1</v>
      </c>
      <c r="Z28" s="368">
        <v>1</v>
      </c>
      <c r="AA28" s="381">
        <v>1</v>
      </c>
      <c r="AB28" s="381">
        <v>1</v>
      </c>
      <c r="AC28" s="381">
        <v>1</v>
      </c>
      <c r="AD28" s="395">
        <v>1</v>
      </c>
      <c r="AE28" s="395">
        <v>1</v>
      </c>
      <c r="AF28" s="395">
        <v>1</v>
      </c>
      <c r="AG28" s="398">
        <v>1</v>
      </c>
      <c r="AH28" s="398">
        <v>1</v>
      </c>
      <c r="AI28" s="398">
        <v>1</v>
      </c>
      <c r="AJ28" s="58"/>
      <c r="AK28" s="58"/>
      <c r="AL28" s="58"/>
      <c r="AM28" s="36"/>
    </row>
    <row r="29" spans="1:39" ht="15.75" customHeight="1" x14ac:dyDescent="0.2">
      <c r="A29" s="80"/>
      <c r="B29" s="153" t="s">
        <v>85</v>
      </c>
      <c r="C29" s="80" t="s">
        <v>84</v>
      </c>
      <c r="D29" s="449">
        <v>2</v>
      </c>
      <c r="E29" s="58">
        <v>2</v>
      </c>
      <c r="F29" s="450">
        <v>2</v>
      </c>
      <c r="G29" s="58">
        <v>2</v>
      </c>
      <c r="H29" s="58">
        <v>2</v>
      </c>
      <c r="I29" s="457">
        <v>2</v>
      </c>
      <c r="J29" s="457">
        <v>2</v>
      </c>
      <c r="K29" s="457">
        <v>2</v>
      </c>
      <c r="L29" s="462">
        <v>2</v>
      </c>
      <c r="M29" s="462">
        <v>2</v>
      </c>
      <c r="N29" s="462">
        <v>2</v>
      </c>
      <c r="O29" s="465">
        <v>2</v>
      </c>
      <c r="P29" s="465">
        <v>2</v>
      </c>
      <c r="Q29" s="465">
        <v>2</v>
      </c>
      <c r="R29" s="472">
        <v>2</v>
      </c>
      <c r="S29" s="472">
        <v>2</v>
      </c>
      <c r="T29" s="472">
        <v>2</v>
      </c>
      <c r="U29" s="364">
        <v>2</v>
      </c>
      <c r="V29" s="364">
        <v>2</v>
      </c>
      <c r="W29" s="364">
        <v>2</v>
      </c>
      <c r="X29" s="368">
        <v>2</v>
      </c>
      <c r="Y29" s="368">
        <v>2</v>
      </c>
      <c r="Z29" s="368">
        <v>2</v>
      </c>
      <c r="AA29" s="381">
        <v>2</v>
      </c>
      <c r="AB29" s="381">
        <v>2</v>
      </c>
      <c r="AC29" s="381">
        <v>2</v>
      </c>
      <c r="AD29" s="395">
        <v>2</v>
      </c>
      <c r="AE29" s="395">
        <v>2</v>
      </c>
      <c r="AF29" s="395">
        <v>2</v>
      </c>
      <c r="AG29" s="398">
        <v>2</v>
      </c>
      <c r="AH29" s="398">
        <v>2</v>
      </c>
      <c r="AI29" s="398">
        <v>2</v>
      </c>
      <c r="AJ29" s="58"/>
      <c r="AK29" s="58"/>
      <c r="AL29" s="58"/>
      <c r="AM29" s="36"/>
    </row>
    <row r="30" spans="1:39" ht="15.75" customHeight="1" x14ac:dyDescent="0.2">
      <c r="A30" s="80"/>
      <c r="B30" s="154" t="s">
        <v>153</v>
      </c>
      <c r="C30" s="80" t="s">
        <v>87</v>
      </c>
      <c r="D30" s="449">
        <v>1</v>
      </c>
      <c r="E30" s="58">
        <v>1</v>
      </c>
      <c r="F30" s="450">
        <v>1</v>
      </c>
      <c r="G30" s="58">
        <v>1</v>
      </c>
      <c r="H30" s="58">
        <v>1</v>
      </c>
      <c r="I30" s="457">
        <v>1</v>
      </c>
      <c r="J30" s="457">
        <v>1</v>
      </c>
      <c r="K30" s="457">
        <v>1</v>
      </c>
      <c r="L30" s="462">
        <v>1</v>
      </c>
      <c r="M30" s="462">
        <v>1</v>
      </c>
      <c r="N30" s="462">
        <v>1</v>
      </c>
      <c r="O30" s="465">
        <v>1</v>
      </c>
      <c r="P30" s="465">
        <v>1</v>
      </c>
      <c r="Q30" s="465">
        <v>1</v>
      </c>
      <c r="R30" s="472">
        <v>1</v>
      </c>
      <c r="S30" s="472">
        <v>1</v>
      </c>
      <c r="T30" s="472">
        <v>1</v>
      </c>
      <c r="U30" s="364">
        <v>1</v>
      </c>
      <c r="V30" s="364">
        <v>1</v>
      </c>
      <c r="W30" s="364">
        <v>1</v>
      </c>
      <c r="X30" s="368">
        <v>1</v>
      </c>
      <c r="Y30" s="368">
        <v>1</v>
      </c>
      <c r="Z30" s="368">
        <v>1</v>
      </c>
      <c r="AA30" s="381">
        <v>1</v>
      </c>
      <c r="AB30" s="381">
        <v>1</v>
      </c>
      <c r="AC30" s="381">
        <v>1</v>
      </c>
      <c r="AD30" s="395">
        <v>1</v>
      </c>
      <c r="AE30" s="395">
        <v>1</v>
      </c>
      <c r="AF30" s="395">
        <v>1</v>
      </c>
      <c r="AG30" s="398">
        <v>1</v>
      </c>
      <c r="AH30" s="398">
        <v>1</v>
      </c>
      <c r="AI30" s="398">
        <v>1</v>
      </c>
      <c r="AJ30" s="58"/>
      <c r="AK30" s="58"/>
      <c r="AL30" s="58"/>
      <c r="AM30" s="36"/>
    </row>
    <row r="31" spans="1:39" ht="15.75" customHeight="1" x14ac:dyDescent="0.2">
      <c r="A31" s="80"/>
      <c r="B31" s="153" t="s">
        <v>154</v>
      </c>
      <c r="C31" s="80" t="s">
        <v>87</v>
      </c>
      <c r="D31" s="449">
        <v>8</v>
      </c>
      <c r="E31" s="58">
        <v>8</v>
      </c>
      <c r="F31" s="450">
        <v>8</v>
      </c>
      <c r="G31" s="58">
        <v>8</v>
      </c>
      <c r="H31" s="58">
        <v>8</v>
      </c>
      <c r="I31" s="457">
        <v>8</v>
      </c>
      <c r="J31" s="457">
        <v>8</v>
      </c>
      <c r="K31" s="457">
        <v>8</v>
      </c>
      <c r="L31" s="462">
        <v>8</v>
      </c>
      <c r="M31" s="462">
        <v>8</v>
      </c>
      <c r="N31" s="462">
        <v>8</v>
      </c>
      <c r="O31" s="465">
        <v>8</v>
      </c>
      <c r="P31" s="465">
        <v>8</v>
      </c>
      <c r="Q31" s="465">
        <v>8</v>
      </c>
      <c r="R31" s="472">
        <v>8</v>
      </c>
      <c r="S31" s="472">
        <v>8</v>
      </c>
      <c r="T31" s="472">
        <v>8</v>
      </c>
      <c r="U31" s="364">
        <v>8</v>
      </c>
      <c r="V31" s="364">
        <v>8</v>
      </c>
      <c r="W31" s="364">
        <v>8</v>
      </c>
      <c r="X31" s="368">
        <v>8</v>
      </c>
      <c r="Y31" s="368">
        <v>8</v>
      </c>
      <c r="Z31" s="368">
        <v>8</v>
      </c>
      <c r="AA31" s="381">
        <v>8</v>
      </c>
      <c r="AB31" s="381">
        <v>8</v>
      </c>
      <c r="AC31" s="381">
        <v>8</v>
      </c>
      <c r="AD31" s="395">
        <v>8</v>
      </c>
      <c r="AE31" s="395">
        <v>8</v>
      </c>
      <c r="AF31" s="395">
        <v>8</v>
      </c>
      <c r="AG31" s="398">
        <v>8</v>
      </c>
      <c r="AH31" s="398">
        <v>8</v>
      </c>
      <c r="AI31" s="398">
        <v>8</v>
      </c>
      <c r="AJ31" s="58"/>
      <c r="AK31" s="58"/>
      <c r="AL31" s="58"/>
      <c r="AM31" s="36"/>
    </row>
    <row r="32" spans="1:39" ht="15.75" customHeight="1" x14ac:dyDescent="0.2">
      <c r="A32" s="80"/>
      <c r="B32" s="154" t="s">
        <v>151</v>
      </c>
      <c r="C32" s="80" t="s">
        <v>87</v>
      </c>
      <c r="D32" s="449">
        <v>1</v>
      </c>
      <c r="E32" s="58">
        <v>1</v>
      </c>
      <c r="F32" s="450">
        <v>1</v>
      </c>
      <c r="G32" s="58">
        <v>1</v>
      </c>
      <c r="H32" s="58">
        <v>1</v>
      </c>
      <c r="I32" s="457">
        <v>1</v>
      </c>
      <c r="J32" s="457">
        <v>1</v>
      </c>
      <c r="K32" s="457">
        <v>1</v>
      </c>
      <c r="L32" s="462">
        <v>1</v>
      </c>
      <c r="M32" s="462">
        <v>1</v>
      </c>
      <c r="N32" s="462">
        <v>1</v>
      </c>
      <c r="O32" s="465">
        <v>1</v>
      </c>
      <c r="P32" s="465">
        <v>1</v>
      </c>
      <c r="Q32" s="465">
        <v>1</v>
      </c>
      <c r="R32" s="472">
        <v>1</v>
      </c>
      <c r="S32" s="472">
        <v>1</v>
      </c>
      <c r="T32" s="472">
        <v>1</v>
      </c>
      <c r="U32" s="364">
        <v>1</v>
      </c>
      <c r="V32" s="364">
        <v>1</v>
      </c>
      <c r="W32" s="364">
        <v>1</v>
      </c>
      <c r="X32" s="368">
        <v>1</v>
      </c>
      <c r="Y32" s="368">
        <v>1</v>
      </c>
      <c r="Z32" s="368">
        <v>1</v>
      </c>
      <c r="AA32" s="381">
        <v>1</v>
      </c>
      <c r="AB32" s="381">
        <v>1</v>
      </c>
      <c r="AC32" s="381">
        <v>1</v>
      </c>
      <c r="AD32" s="395">
        <v>1</v>
      </c>
      <c r="AE32" s="395">
        <v>1</v>
      </c>
      <c r="AF32" s="395">
        <v>1</v>
      </c>
      <c r="AG32" s="398">
        <v>1</v>
      </c>
      <c r="AH32" s="398">
        <v>1</v>
      </c>
      <c r="AI32" s="398">
        <v>1</v>
      </c>
      <c r="AJ32" s="58"/>
      <c r="AK32" s="58"/>
      <c r="AL32" s="58"/>
      <c r="AM32" s="36"/>
    </row>
    <row r="33" spans="1:39" ht="15.75" customHeight="1" x14ac:dyDescent="0.2">
      <c r="A33" s="80"/>
      <c r="B33" s="105" t="s">
        <v>88</v>
      </c>
      <c r="C33" s="80" t="s">
        <v>89</v>
      </c>
      <c r="D33" s="449">
        <v>4</v>
      </c>
      <c r="E33" s="58">
        <v>4</v>
      </c>
      <c r="F33" s="450">
        <v>4</v>
      </c>
      <c r="G33" s="58">
        <v>4</v>
      </c>
      <c r="H33" s="58">
        <v>4</v>
      </c>
      <c r="I33" s="457">
        <v>4</v>
      </c>
      <c r="J33" s="457">
        <v>4</v>
      </c>
      <c r="K33" s="457">
        <v>4</v>
      </c>
      <c r="L33" s="462">
        <v>4</v>
      </c>
      <c r="M33" s="462">
        <v>4</v>
      </c>
      <c r="N33" s="462">
        <v>4</v>
      </c>
      <c r="O33" s="465">
        <v>4</v>
      </c>
      <c r="P33" s="465">
        <v>4</v>
      </c>
      <c r="Q33" s="465">
        <v>4</v>
      </c>
      <c r="R33" s="472">
        <v>4</v>
      </c>
      <c r="S33" s="472">
        <v>4</v>
      </c>
      <c r="T33" s="472">
        <v>4</v>
      </c>
      <c r="U33" s="364">
        <v>4</v>
      </c>
      <c r="V33" s="364">
        <v>4</v>
      </c>
      <c r="W33" s="364">
        <v>4</v>
      </c>
      <c r="X33" s="368">
        <v>4</v>
      </c>
      <c r="Y33" s="368">
        <v>4</v>
      </c>
      <c r="Z33" s="368">
        <v>4</v>
      </c>
      <c r="AA33" s="381">
        <v>4</v>
      </c>
      <c r="AB33" s="381">
        <v>4</v>
      </c>
      <c r="AC33" s="381">
        <v>4</v>
      </c>
      <c r="AD33" s="395">
        <v>4</v>
      </c>
      <c r="AE33" s="395">
        <v>4</v>
      </c>
      <c r="AF33" s="395">
        <v>4</v>
      </c>
      <c r="AG33" s="398">
        <v>4</v>
      </c>
      <c r="AH33" s="398">
        <v>4</v>
      </c>
      <c r="AI33" s="398">
        <v>4</v>
      </c>
      <c r="AJ33" s="58"/>
      <c r="AK33" s="58"/>
      <c r="AL33" s="58"/>
      <c r="AM33" s="36"/>
    </row>
    <row r="34" spans="1:39" ht="15.75" customHeight="1" x14ac:dyDescent="0.2">
      <c r="A34" s="80"/>
      <c r="B34" s="105" t="s">
        <v>90</v>
      </c>
      <c r="C34" s="80" t="s">
        <v>91</v>
      </c>
      <c r="D34" s="449">
        <v>103</v>
      </c>
      <c r="E34" s="58">
        <v>103</v>
      </c>
      <c r="F34" s="450">
        <v>103</v>
      </c>
      <c r="G34" s="58">
        <v>103</v>
      </c>
      <c r="H34" s="58">
        <v>103</v>
      </c>
      <c r="I34" s="457">
        <v>105</v>
      </c>
      <c r="J34" s="457">
        <v>103</v>
      </c>
      <c r="K34" s="457">
        <v>103</v>
      </c>
      <c r="L34" s="462">
        <v>105</v>
      </c>
      <c r="M34" s="462">
        <v>103</v>
      </c>
      <c r="N34" s="462">
        <v>103</v>
      </c>
      <c r="O34" s="465">
        <v>103</v>
      </c>
      <c r="P34" s="465">
        <v>103</v>
      </c>
      <c r="Q34" s="465">
        <v>103</v>
      </c>
      <c r="R34" s="472">
        <v>103</v>
      </c>
      <c r="S34" s="472">
        <v>103</v>
      </c>
      <c r="T34" s="472">
        <v>103</v>
      </c>
      <c r="U34" s="364">
        <v>105</v>
      </c>
      <c r="V34" s="364">
        <v>103</v>
      </c>
      <c r="W34" s="364">
        <v>103</v>
      </c>
      <c r="X34" s="368">
        <v>105</v>
      </c>
      <c r="Y34" s="368">
        <v>103</v>
      </c>
      <c r="Z34" s="368">
        <v>103</v>
      </c>
      <c r="AA34" s="381">
        <v>105</v>
      </c>
      <c r="AB34" s="381">
        <v>103</v>
      </c>
      <c r="AC34" s="381">
        <v>103</v>
      </c>
      <c r="AD34" s="395">
        <v>105</v>
      </c>
      <c r="AE34" s="395">
        <v>103</v>
      </c>
      <c r="AF34" s="395">
        <v>103</v>
      </c>
      <c r="AG34" s="398">
        <v>105</v>
      </c>
      <c r="AH34" s="398">
        <v>103</v>
      </c>
      <c r="AI34" s="398">
        <v>103</v>
      </c>
      <c r="AJ34" s="58"/>
      <c r="AK34" s="58"/>
      <c r="AL34" s="58"/>
      <c r="AM34" s="36"/>
    </row>
    <row r="35" spans="1:39" ht="15.75" customHeight="1" x14ac:dyDescent="0.2">
      <c r="A35" s="80"/>
      <c r="B35" s="105" t="s">
        <v>278</v>
      </c>
      <c r="C35" s="80" t="s">
        <v>77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5"/>
      <c r="P35" s="465"/>
      <c r="Q35" s="465"/>
      <c r="R35" s="462"/>
      <c r="S35" s="472"/>
      <c r="T35" s="47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36"/>
    </row>
    <row r="36" spans="1:39" ht="15.75" customHeight="1" x14ac:dyDescent="0.2">
      <c r="A36" s="79">
        <v>2</v>
      </c>
      <c r="B36" s="152" t="s">
        <v>92</v>
      </c>
      <c r="C36" s="79" t="s">
        <v>82</v>
      </c>
      <c r="D36" s="449">
        <v>2</v>
      </c>
      <c r="E36" s="58">
        <v>2</v>
      </c>
      <c r="F36" s="450">
        <v>2</v>
      </c>
      <c r="G36" s="58">
        <v>2</v>
      </c>
      <c r="H36" s="58">
        <v>2</v>
      </c>
      <c r="I36" s="457">
        <v>2</v>
      </c>
      <c r="J36" s="457">
        <v>2</v>
      </c>
      <c r="K36" s="457">
        <v>2</v>
      </c>
      <c r="L36" s="462">
        <v>2</v>
      </c>
      <c r="M36" s="462">
        <v>2</v>
      </c>
      <c r="N36" s="462">
        <v>2</v>
      </c>
      <c r="O36" s="465">
        <v>2</v>
      </c>
      <c r="P36" s="465">
        <v>2</v>
      </c>
      <c r="Q36" s="465">
        <v>2</v>
      </c>
      <c r="R36" s="472">
        <v>2</v>
      </c>
      <c r="S36" s="472">
        <v>2</v>
      </c>
      <c r="T36" s="472">
        <v>2</v>
      </c>
      <c r="U36" s="364">
        <v>2</v>
      </c>
      <c r="V36" s="364">
        <v>2</v>
      </c>
      <c r="W36" s="364">
        <v>2</v>
      </c>
      <c r="X36" s="368">
        <v>2</v>
      </c>
      <c r="Y36" s="368">
        <v>2</v>
      </c>
      <c r="Z36" s="368">
        <v>2</v>
      </c>
      <c r="AA36" s="381">
        <v>2</v>
      </c>
      <c r="AB36" s="381">
        <v>2</v>
      </c>
      <c r="AC36" s="381">
        <v>2</v>
      </c>
      <c r="AD36" s="395">
        <v>2</v>
      </c>
      <c r="AE36" s="395">
        <v>2</v>
      </c>
      <c r="AF36" s="395">
        <v>2</v>
      </c>
      <c r="AG36" s="398">
        <v>2</v>
      </c>
      <c r="AH36" s="398">
        <v>2</v>
      </c>
      <c r="AI36" s="398">
        <v>2</v>
      </c>
      <c r="AJ36" s="58"/>
      <c r="AK36" s="58"/>
      <c r="AL36" s="58"/>
      <c r="AM36" s="36"/>
    </row>
    <row r="37" spans="1:39" ht="15.75" customHeight="1" x14ac:dyDescent="0.2">
      <c r="A37" s="79">
        <v>3</v>
      </c>
      <c r="B37" s="155" t="s">
        <v>93</v>
      </c>
      <c r="C37" s="79" t="s">
        <v>94</v>
      </c>
      <c r="D37" s="449">
        <f t="shared" ref="D37:I37" si="16">D38+D39</f>
        <v>1590</v>
      </c>
      <c r="E37" s="58">
        <f t="shared" si="16"/>
        <v>1590</v>
      </c>
      <c r="F37" s="450">
        <f t="shared" si="16"/>
        <v>1590</v>
      </c>
      <c r="G37" s="58">
        <f t="shared" si="16"/>
        <v>1590</v>
      </c>
      <c r="H37" s="58">
        <f t="shared" si="16"/>
        <v>1590</v>
      </c>
      <c r="I37" s="457">
        <f t="shared" si="16"/>
        <v>1580</v>
      </c>
      <c r="J37" s="457">
        <f t="shared" ref="J37:L37" si="17">J38+J39</f>
        <v>1590</v>
      </c>
      <c r="K37" s="457">
        <f t="shared" si="17"/>
        <v>1590</v>
      </c>
      <c r="L37" s="462">
        <f t="shared" si="17"/>
        <v>1580</v>
      </c>
      <c r="M37" s="462">
        <f t="shared" ref="M37:O37" si="18">M38+M39</f>
        <v>1590</v>
      </c>
      <c r="N37" s="462">
        <f t="shared" si="18"/>
        <v>1590</v>
      </c>
      <c r="O37" s="465">
        <f t="shared" si="18"/>
        <v>1580</v>
      </c>
      <c r="P37" s="465">
        <f t="shared" ref="P37:Q37" si="19">P38+P39</f>
        <v>1590</v>
      </c>
      <c r="Q37" s="465">
        <f t="shared" si="19"/>
        <v>1590</v>
      </c>
      <c r="R37" s="472">
        <v>1580</v>
      </c>
      <c r="S37" s="472">
        <f t="shared" ref="S37:T37" si="20">S38+S39</f>
        <v>1590</v>
      </c>
      <c r="T37" s="472">
        <f t="shared" si="20"/>
        <v>1590</v>
      </c>
      <c r="U37" s="364">
        <v>1450</v>
      </c>
      <c r="V37" s="364">
        <v>1580</v>
      </c>
      <c r="W37" s="364">
        <v>1580</v>
      </c>
      <c r="X37" s="58">
        <v>1450</v>
      </c>
      <c r="Y37" s="58">
        <v>1580</v>
      </c>
      <c r="Z37" s="58">
        <v>1580</v>
      </c>
      <c r="AA37" s="381">
        <v>1450</v>
      </c>
      <c r="AB37" s="381">
        <v>1580</v>
      </c>
      <c r="AC37" s="381">
        <v>1580</v>
      </c>
      <c r="AD37" s="395">
        <v>1450</v>
      </c>
      <c r="AE37" s="395">
        <v>1580</v>
      </c>
      <c r="AF37" s="395">
        <v>1580</v>
      </c>
      <c r="AG37" s="398">
        <v>1450</v>
      </c>
      <c r="AH37" s="398">
        <v>1580</v>
      </c>
      <c r="AI37" s="398">
        <v>1580</v>
      </c>
      <c r="AJ37" s="58"/>
      <c r="AK37" s="58"/>
      <c r="AL37" s="58"/>
      <c r="AM37" s="36"/>
    </row>
    <row r="38" spans="1:39" ht="15.75" customHeight="1" x14ac:dyDescent="0.2">
      <c r="A38" s="79"/>
      <c r="B38" s="155" t="s">
        <v>95</v>
      </c>
      <c r="C38" s="79" t="s">
        <v>94</v>
      </c>
      <c r="D38" s="449">
        <v>670</v>
      </c>
      <c r="E38" s="58">
        <v>670</v>
      </c>
      <c r="F38" s="450">
        <v>670</v>
      </c>
      <c r="G38" s="58">
        <v>670</v>
      </c>
      <c r="H38" s="58">
        <v>670</v>
      </c>
      <c r="I38" s="457">
        <v>660</v>
      </c>
      <c r="J38" s="457">
        <v>670</v>
      </c>
      <c r="K38" s="457">
        <v>670</v>
      </c>
      <c r="L38" s="462">
        <v>660</v>
      </c>
      <c r="M38" s="462">
        <v>670</v>
      </c>
      <c r="N38" s="462">
        <v>670</v>
      </c>
      <c r="O38" s="465">
        <v>660</v>
      </c>
      <c r="P38" s="465">
        <v>670</v>
      </c>
      <c r="Q38" s="465">
        <v>670</v>
      </c>
      <c r="R38" s="472">
        <v>660</v>
      </c>
      <c r="S38" s="472">
        <v>670</v>
      </c>
      <c r="T38" s="472">
        <v>670</v>
      </c>
      <c r="U38" s="364">
        <v>590</v>
      </c>
      <c r="V38" s="364">
        <v>660</v>
      </c>
      <c r="W38" s="364">
        <v>660</v>
      </c>
      <c r="X38" s="58">
        <v>590</v>
      </c>
      <c r="Y38" s="58">
        <v>660</v>
      </c>
      <c r="Z38" s="58">
        <v>660</v>
      </c>
      <c r="AA38" s="381">
        <v>590</v>
      </c>
      <c r="AB38" s="381">
        <v>660</v>
      </c>
      <c r="AC38" s="381">
        <v>660</v>
      </c>
      <c r="AD38" s="395">
        <v>590</v>
      </c>
      <c r="AE38" s="395">
        <v>660</v>
      </c>
      <c r="AF38" s="395">
        <v>660</v>
      </c>
      <c r="AG38" s="398">
        <v>590</v>
      </c>
      <c r="AH38" s="398">
        <v>660</v>
      </c>
      <c r="AI38" s="398">
        <v>660</v>
      </c>
      <c r="AJ38" s="58"/>
      <c r="AK38" s="58"/>
      <c r="AL38" s="58"/>
      <c r="AM38" s="36"/>
    </row>
    <row r="39" spans="1:39" ht="15.75" customHeight="1" x14ac:dyDescent="0.2">
      <c r="A39" s="79"/>
      <c r="B39" s="155" t="s">
        <v>96</v>
      </c>
      <c r="C39" s="79" t="s">
        <v>94</v>
      </c>
      <c r="D39" s="449">
        <f>D40+D41</f>
        <v>920</v>
      </c>
      <c r="E39" s="58">
        <f>E40+E41</f>
        <v>920</v>
      </c>
      <c r="F39" s="450">
        <f>F40+F41</f>
        <v>920</v>
      </c>
      <c r="G39" s="58">
        <f>G40+G41</f>
        <v>920</v>
      </c>
      <c r="H39" s="58">
        <f>H40+H41</f>
        <v>920</v>
      </c>
      <c r="I39" s="457">
        <f t="shared" ref="I39:L39" si="21">I40+I41</f>
        <v>920</v>
      </c>
      <c r="J39" s="457">
        <f t="shared" si="21"/>
        <v>920</v>
      </c>
      <c r="K39" s="457">
        <f t="shared" si="21"/>
        <v>920</v>
      </c>
      <c r="L39" s="462">
        <f t="shared" si="21"/>
        <v>920</v>
      </c>
      <c r="M39" s="462">
        <f t="shared" ref="M39:O39" si="22">M40+M41</f>
        <v>920</v>
      </c>
      <c r="N39" s="462">
        <f t="shared" si="22"/>
        <v>920</v>
      </c>
      <c r="O39" s="465">
        <f t="shared" si="22"/>
        <v>920</v>
      </c>
      <c r="P39" s="465">
        <f t="shared" ref="P39:Q39" si="23">P40+P41</f>
        <v>920</v>
      </c>
      <c r="Q39" s="465">
        <f t="shared" si="23"/>
        <v>920</v>
      </c>
      <c r="R39" s="472">
        <v>920</v>
      </c>
      <c r="S39" s="472">
        <f t="shared" ref="S39:T39" si="24">S40+S41</f>
        <v>920</v>
      </c>
      <c r="T39" s="472">
        <f t="shared" si="24"/>
        <v>920</v>
      </c>
      <c r="U39" s="364">
        <v>860</v>
      </c>
      <c r="V39" s="364">
        <v>920</v>
      </c>
      <c r="W39" s="364">
        <v>920</v>
      </c>
      <c r="X39" s="58">
        <v>860</v>
      </c>
      <c r="Y39" s="58">
        <v>920</v>
      </c>
      <c r="Z39" s="58">
        <v>920</v>
      </c>
      <c r="AA39" s="381">
        <v>860</v>
      </c>
      <c r="AB39" s="381">
        <v>920</v>
      </c>
      <c r="AC39" s="381">
        <v>920</v>
      </c>
      <c r="AD39" s="395">
        <v>860</v>
      </c>
      <c r="AE39" s="395">
        <v>920</v>
      </c>
      <c r="AF39" s="395">
        <v>920</v>
      </c>
      <c r="AG39" s="398">
        <v>860</v>
      </c>
      <c r="AH39" s="398">
        <v>920</v>
      </c>
      <c r="AI39" s="398">
        <v>920</v>
      </c>
      <c r="AJ39" s="58"/>
      <c r="AK39" s="58"/>
      <c r="AL39" s="58"/>
      <c r="AM39" s="36"/>
    </row>
    <row r="40" spans="1:39" ht="15.75" customHeight="1" x14ac:dyDescent="0.2">
      <c r="A40" s="80"/>
      <c r="B40" s="153" t="s">
        <v>97</v>
      </c>
      <c r="C40" s="79" t="s">
        <v>94</v>
      </c>
      <c r="D40" s="449">
        <v>860</v>
      </c>
      <c r="E40" s="58">
        <v>860</v>
      </c>
      <c r="F40" s="450">
        <v>860</v>
      </c>
      <c r="G40" s="58">
        <v>860</v>
      </c>
      <c r="H40" s="58">
        <v>860</v>
      </c>
      <c r="I40" s="457">
        <v>860</v>
      </c>
      <c r="J40" s="457">
        <v>860</v>
      </c>
      <c r="K40" s="457">
        <v>860</v>
      </c>
      <c r="L40" s="462">
        <v>860</v>
      </c>
      <c r="M40" s="462">
        <v>860</v>
      </c>
      <c r="N40" s="462">
        <v>860</v>
      </c>
      <c r="O40" s="465">
        <v>860</v>
      </c>
      <c r="P40" s="465">
        <v>860</v>
      </c>
      <c r="Q40" s="465">
        <v>860</v>
      </c>
      <c r="R40" s="472">
        <v>860</v>
      </c>
      <c r="S40" s="472">
        <v>860</v>
      </c>
      <c r="T40" s="472">
        <v>860</v>
      </c>
      <c r="U40" s="364">
        <v>800</v>
      </c>
      <c r="V40" s="364">
        <v>860</v>
      </c>
      <c r="W40" s="364">
        <v>860</v>
      </c>
      <c r="X40" s="58">
        <v>800</v>
      </c>
      <c r="Y40" s="58">
        <v>860</v>
      </c>
      <c r="Z40" s="58">
        <v>860</v>
      </c>
      <c r="AA40" s="381">
        <v>800</v>
      </c>
      <c r="AB40" s="381">
        <v>860</v>
      </c>
      <c r="AC40" s="381">
        <v>860</v>
      </c>
      <c r="AD40" s="395">
        <v>800</v>
      </c>
      <c r="AE40" s="395">
        <v>860</v>
      </c>
      <c r="AF40" s="395">
        <v>860</v>
      </c>
      <c r="AG40" s="398">
        <v>800</v>
      </c>
      <c r="AH40" s="398">
        <v>860</v>
      </c>
      <c r="AI40" s="398">
        <v>860</v>
      </c>
      <c r="AJ40" s="58"/>
      <c r="AK40" s="58"/>
      <c r="AL40" s="58"/>
      <c r="AM40" s="36"/>
    </row>
    <row r="41" spans="1:39" ht="15.75" customHeight="1" x14ac:dyDescent="0.2">
      <c r="A41" s="80"/>
      <c r="B41" s="156" t="s">
        <v>150</v>
      </c>
      <c r="C41" s="80" t="s">
        <v>94</v>
      </c>
      <c r="D41" s="449">
        <v>60</v>
      </c>
      <c r="E41" s="58">
        <v>60</v>
      </c>
      <c r="F41" s="450">
        <v>60</v>
      </c>
      <c r="G41" s="58">
        <v>60</v>
      </c>
      <c r="H41" s="58">
        <v>60</v>
      </c>
      <c r="I41" s="457">
        <v>60</v>
      </c>
      <c r="J41" s="457">
        <v>60</v>
      </c>
      <c r="K41" s="457">
        <v>60</v>
      </c>
      <c r="L41" s="462">
        <v>60</v>
      </c>
      <c r="M41" s="462">
        <v>60</v>
      </c>
      <c r="N41" s="462">
        <v>60</v>
      </c>
      <c r="O41" s="465">
        <v>60</v>
      </c>
      <c r="P41" s="465">
        <v>60</v>
      </c>
      <c r="Q41" s="465">
        <v>60</v>
      </c>
      <c r="R41" s="472">
        <v>60</v>
      </c>
      <c r="S41" s="472">
        <v>60</v>
      </c>
      <c r="T41" s="472">
        <v>60</v>
      </c>
      <c r="U41" s="364">
        <v>60</v>
      </c>
      <c r="V41" s="364">
        <v>60</v>
      </c>
      <c r="W41" s="364">
        <v>60</v>
      </c>
      <c r="X41" s="58">
        <v>60</v>
      </c>
      <c r="Y41" s="58">
        <v>60</v>
      </c>
      <c r="Z41" s="58">
        <v>60</v>
      </c>
      <c r="AA41" s="381">
        <v>60</v>
      </c>
      <c r="AB41" s="381">
        <v>60</v>
      </c>
      <c r="AC41" s="381">
        <v>60</v>
      </c>
      <c r="AD41" s="395">
        <v>60</v>
      </c>
      <c r="AE41" s="395">
        <v>60</v>
      </c>
      <c r="AF41" s="395">
        <v>60</v>
      </c>
      <c r="AG41" s="398">
        <v>60</v>
      </c>
      <c r="AH41" s="398">
        <v>60</v>
      </c>
      <c r="AI41" s="398">
        <v>60</v>
      </c>
      <c r="AJ41" s="58"/>
      <c r="AK41" s="58"/>
      <c r="AL41" s="58"/>
      <c r="AM41" s="36"/>
    </row>
    <row r="42" spans="1:39" ht="26.25" customHeight="1" x14ac:dyDescent="0.2">
      <c r="A42" s="79">
        <v>4</v>
      </c>
      <c r="B42" s="152" t="s">
        <v>98</v>
      </c>
      <c r="C42" s="79" t="s">
        <v>94</v>
      </c>
      <c r="D42" s="96">
        <f>D37/D11*10000</f>
        <v>33.300870220853888</v>
      </c>
      <c r="E42" s="96">
        <f>E37/E11*10000</f>
        <v>32.820385794346222</v>
      </c>
      <c r="F42" s="430">
        <f>F37/F11*10000</f>
        <v>33.313429083252146</v>
      </c>
      <c r="G42" s="109">
        <f>G37/G11*10000</f>
        <v>32.820385794346222</v>
      </c>
      <c r="H42" s="109">
        <f>H37/H11*10000</f>
        <v>32.820385794346222</v>
      </c>
      <c r="I42" s="430">
        <f t="shared" ref="I42:L42" si="25">I37/I11*10000</f>
        <v>33.68137420006736</v>
      </c>
      <c r="J42" s="430">
        <f t="shared" si="25"/>
        <v>32.820385794346222</v>
      </c>
      <c r="K42" s="430">
        <f t="shared" si="25"/>
        <v>32.820385794346222</v>
      </c>
      <c r="L42" s="430">
        <f t="shared" si="25"/>
        <v>33.68137420006736</v>
      </c>
      <c r="M42" s="430">
        <f t="shared" ref="M42:O42" si="26">M37/M11*10000</f>
        <v>32.820385794346222</v>
      </c>
      <c r="N42" s="430">
        <f t="shared" si="26"/>
        <v>32.820385794346222</v>
      </c>
      <c r="O42" s="430">
        <f t="shared" si="26"/>
        <v>33.68137420006736</v>
      </c>
      <c r="P42" s="430">
        <f t="shared" ref="P42:Q42" si="27">P37/P11*10000</f>
        <v>32.820385794346222</v>
      </c>
      <c r="Q42" s="430">
        <f t="shared" si="27"/>
        <v>32.820385794346222</v>
      </c>
      <c r="R42" s="474">
        <v>33.68137420006736</v>
      </c>
      <c r="S42" s="430">
        <f t="shared" ref="S42:T42" si="28">S37/S11*10000</f>
        <v>32.815170102284263</v>
      </c>
      <c r="T42" s="430">
        <f t="shared" si="28"/>
        <v>32.815170102284263</v>
      </c>
      <c r="U42" s="364">
        <v>31.68</v>
      </c>
      <c r="V42" s="96">
        <v>33.68137420006736</v>
      </c>
      <c r="W42" s="96">
        <v>33.68137420006736</v>
      </c>
      <c r="X42" s="96">
        <v>31.68</v>
      </c>
      <c r="Y42" s="96">
        <v>33.68137420006736</v>
      </c>
      <c r="Z42" s="96">
        <v>33.68137420006736</v>
      </c>
      <c r="AA42" s="96">
        <v>31.68</v>
      </c>
      <c r="AB42" s="96">
        <v>33.68137420006736</v>
      </c>
      <c r="AC42" s="96">
        <v>33.68137420006736</v>
      </c>
      <c r="AD42" s="96">
        <v>31.68</v>
      </c>
      <c r="AE42" s="96">
        <v>33.68137420006736</v>
      </c>
      <c r="AF42" s="96">
        <v>33.68137420006736</v>
      </c>
      <c r="AG42" s="96">
        <v>31.68</v>
      </c>
      <c r="AH42" s="96">
        <v>33.68137420006736</v>
      </c>
      <c r="AI42" s="96">
        <v>33.68137420006736</v>
      </c>
      <c r="AJ42" s="58"/>
      <c r="AK42" s="58"/>
      <c r="AL42" s="58"/>
      <c r="AM42" s="36"/>
    </row>
    <row r="43" spans="1:39" ht="24" customHeight="1" x14ac:dyDescent="0.2">
      <c r="A43" s="80"/>
      <c r="B43" s="157" t="s">
        <v>99</v>
      </c>
      <c r="C43" s="80" t="s">
        <v>100</v>
      </c>
      <c r="D43" s="97">
        <f>D42</f>
        <v>33.300870220853888</v>
      </c>
      <c r="E43" s="97">
        <f>E42</f>
        <v>32.820385794346222</v>
      </c>
      <c r="F43" s="427">
        <f>F42</f>
        <v>33.313429083252146</v>
      </c>
      <c r="G43" s="110">
        <f>G42</f>
        <v>32.820385794346222</v>
      </c>
      <c r="H43" s="110">
        <f>H42</f>
        <v>32.820385794346222</v>
      </c>
      <c r="I43" s="427">
        <f t="shared" ref="I43:L43" si="29">I42</f>
        <v>33.68137420006736</v>
      </c>
      <c r="J43" s="427">
        <f t="shared" si="29"/>
        <v>32.820385794346222</v>
      </c>
      <c r="K43" s="427">
        <f t="shared" si="29"/>
        <v>32.820385794346222</v>
      </c>
      <c r="L43" s="427">
        <f t="shared" si="29"/>
        <v>33.68137420006736</v>
      </c>
      <c r="M43" s="427">
        <f t="shared" ref="M43:O43" si="30">M42</f>
        <v>32.820385794346222</v>
      </c>
      <c r="N43" s="427">
        <f t="shared" si="30"/>
        <v>32.820385794346222</v>
      </c>
      <c r="O43" s="427">
        <f t="shared" si="30"/>
        <v>33.68137420006736</v>
      </c>
      <c r="P43" s="427">
        <f t="shared" ref="P43:Q43" si="31">P42</f>
        <v>32.820385794346222</v>
      </c>
      <c r="Q43" s="427">
        <f t="shared" si="31"/>
        <v>32.820385794346222</v>
      </c>
      <c r="R43" s="474">
        <v>33.68137420006736</v>
      </c>
      <c r="S43" s="427">
        <f t="shared" ref="S43:T43" si="32">S42</f>
        <v>32.815170102284263</v>
      </c>
      <c r="T43" s="427">
        <f t="shared" si="32"/>
        <v>32.815170102284263</v>
      </c>
      <c r="U43" s="364">
        <v>31.68</v>
      </c>
      <c r="V43" s="96">
        <v>33.68137420006736</v>
      </c>
      <c r="W43" s="96">
        <v>33.68137420006736</v>
      </c>
      <c r="X43" s="96">
        <v>31.68</v>
      </c>
      <c r="Y43" s="96">
        <v>33.68137420006736</v>
      </c>
      <c r="Z43" s="96">
        <v>33.68137420006736</v>
      </c>
      <c r="AA43" s="96">
        <v>31.68</v>
      </c>
      <c r="AB43" s="96">
        <v>33.68137420006736</v>
      </c>
      <c r="AC43" s="96">
        <v>33.68137420006736</v>
      </c>
      <c r="AD43" s="96">
        <v>31.68</v>
      </c>
      <c r="AE43" s="96">
        <v>33.68137420006736</v>
      </c>
      <c r="AF43" s="96">
        <v>33.68137420006736</v>
      </c>
      <c r="AG43" s="96">
        <v>31.68</v>
      </c>
      <c r="AH43" s="96">
        <v>33.68137420006736</v>
      </c>
      <c r="AI43" s="96">
        <v>33.68137420006736</v>
      </c>
      <c r="AJ43" s="58"/>
      <c r="AK43" s="58"/>
      <c r="AL43" s="58"/>
      <c r="AM43" s="36"/>
    </row>
    <row r="44" spans="1:39" ht="16.5" customHeight="1" x14ac:dyDescent="0.2">
      <c r="A44" s="77" t="s">
        <v>101</v>
      </c>
      <c r="B44" s="158" t="s">
        <v>102</v>
      </c>
      <c r="C44" s="77"/>
      <c r="D44" s="413"/>
      <c r="E44" s="100"/>
      <c r="F44" s="422"/>
      <c r="G44" s="100"/>
      <c r="H44" s="27"/>
      <c r="I44" s="422"/>
      <c r="J44" s="422"/>
      <c r="K44" s="422"/>
      <c r="L44" s="462"/>
      <c r="M44" s="422"/>
      <c r="N44" s="422"/>
      <c r="O44" s="465"/>
      <c r="P44" s="422"/>
      <c r="Q44" s="422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395"/>
      <c r="AE44" s="395"/>
      <c r="AF44" s="395"/>
      <c r="AG44" s="398"/>
      <c r="AH44" s="398"/>
      <c r="AI44" s="398"/>
      <c r="AJ44" s="58"/>
      <c r="AK44" s="58"/>
      <c r="AL44" s="58"/>
      <c r="AM44" s="36"/>
    </row>
    <row r="45" spans="1:39" ht="16.5" customHeight="1" x14ac:dyDescent="0.2">
      <c r="A45" s="79">
        <v>1</v>
      </c>
      <c r="B45" s="152" t="s">
        <v>103</v>
      </c>
      <c r="C45" s="101" t="s">
        <v>76</v>
      </c>
      <c r="D45" s="106">
        <v>2803</v>
      </c>
      <c r="E45" s="106">
        <v>2803</v>
      </c>
      <c r="F45" s="425">
        <f>E45</f>
        <v>2803</v>
      </c>
      <c r="G45" s="106">
        <f>E45</f>
        <v>2803</v>
      </c>
      <c r="H45" s="106">
        <f>G45</f>
        <v>2803</v>
      </c>
      <c r="I45" s="425">
        <f t="shared" ref="I45:K45" si="33">H45</f>
        <v>2803</v>
      </c>
      <c r="J45" s="425">
        <f t="shared" si="33"/>
        <v>2803</v>
      </c>
      <c r="K45" s="425">
        <f t="shared" si="33"/>
        <v>2803</v>
      </c>
      <c r="L45" s="425">
        <f t="shared" ref="L45" si="34">K45</f>
        <v>2803</v>
      </c>
      <c r="M45" s="425">
        <f t="shared" ref="M45" si="35">L45</f>
        <v>2803</v>
      </c>
      <c r="N45" s="425">
        <f t="shared" ref="N45" si="36">M45</f>
        <v>2803</v>
      </c>
      <c r="O45" s="425">
        <f t="shared" ref="O45:Q45" si="37">N45</f>
        <v>2803</v>
      </c>
      <c r="P45" s="425">
        <f t="shared" si="37"/>
        <v>2803</v>
      </c>
      <c r="Q45" s="425">
        <f t="shared" si="37"/>
        <v>2803</v>
      </c>
      <c r="R45" s="472">
        <v>2796</v>
      </c>
      <c r="S45" s="106">
        <v>2781</v>
      </c>
      <c r="T45" s="425">
        <v>2781</v>
      </c>
      <c r="U45" s="106">
        <v>2842</v>
      </c>
      <c r="V45" s="58">
        <v>2790</v>
      </c>
      <c r="W45" s="99">
        <v>2790</v>
      </c>
      <c r="X45" s="106">
        <v>2842</v>
      </c>
      <c r="Y45" s="368">
        <v>2790</v>
      </c>
      <c r="Z45" s="99">
        <v>2790</v>
      </c>
      <c r="AA45" s="99">
        <v>2825</v>
      </c>
      <c r="AB45" s="99">
        <v>2779</v>
      </c>
      <c r="AC45" s="99">
        <v>2779</v>
      </c>
      <c r="AD45" s="99">
        <v>2825</v>
      </c>
      <c r="AE45" s="99">
        <v>2822</v>
      </c>
      <c r="AF45" s="99">
        <v>2822</v>
      </c>
      <c r="AG45" s="99">
        <v>2825</v>
      </c>
      <c r="AH45" s="58">
        <v>2824</v>
      </c>
      <c r="AI45" s="398">
        <v>2824</v>
      </c>
      <c r="AJ45" s="58"/>
      <c r="AK45" s="58"/>
      <c r="AL45" s="58"/>
      <c r="AM45" s="36"/>
    </row>
    <row r="46" spans="1:39" ht="16.5" customHeight="1" x14ac:dyDescent="0.2">
      <c r="A46" s="79"/>
      <c r="B46" s="152" t="s">
        <v>104</v>
      </c>
      <c r="C46" s="101"/>
      <c r="D46" s="28"/>
      <c r="E46" s="28"/>
      <c r="F46" s="423"/>
      <c r="G46" s="28"/>
      <c r="H46" s="28"/>
      <c r="I46" s="423"/>
      <c r="J46" s="423"/>
      <c r="K46" s="423"/>
      <c r="L46" s="423"/>
      <c r="M46" s="423"/>
      <c r="N46" s="423"/>
      <c r="O46" s="423"/>
      <c r="P46" s="423"/>
      <c r="Q46" s="423"/>
      <c r="R46" s="472"/>
      <c r="S46" s="28"/>
      <c r="T46" s="423"/>
      <c r="U46" s="28"/>
      <c r="V46" s="58"/>
      <c r="W46" s="99"/>
      <c r="X46" s="28"/>
      <c r="Y46" s="368"/>
      <c r="Z46" s="99"/>
      <c r="AA46" s="58"/>
      <c r="AB46" s="381"/>
      <c r="AC46" s="58"/>
      <c r="AD46" s="395"/>
      <c r="AE46" s="395"/>
      <c r="AF46" s="395"/>
      <c r="AG46" s="398"/>
      <c r="AH46" s="58"/>
      <c r="AI46" s="398"/>
      <c r="AJ46" s="58"/>
      <c r="AK46" s="58"/>
      <c r="AL46" s="58"/>
      <c r="AM46" s="36"/>
    </row>
    <row r="47" spans="1:39" ht="16.5" customHeight="1" x14ac:dyDescent="0.2">
      <c r="A47" s="79" t="s">
        <v>105</v>
      </c>
      <c r="B47" s="152" t="s">
        <v>106</v>
      </c>
      <c r="C47" s="101" t="s">
        <v>76</v>
      </c>
      <c r="D47" s="28">
        <v>518</v>
      </c>
      <c r="E47" s="28">
        <v>518</v>
      </c>
      <c r="F47" s="422">
        <f>E47</f>
        <v>518</v>
      </c>
      <c r="G47" s="28">
        <f>E47</f>
        <v>518</v>
      </c>
      <c r="H47" s="27">
        <f>G47</f>
        <v>518</v>
      </c>
      <c r="I47" s="422">
        <f t="shared" ref="I47:K47" si="38">H47</f>
        <v>518</v>
      </c>
      <c r="J47" s="422">
        <f t="shared" si="38"/>
        <v>518</v>
      </c>
      <c r="K47" s="422">
        <f t="shared" si="38"/>
        <v>518</v>
      </c>
      <c r="L47" s="422">
        <f t="shared" ref="L47" si="39">K47</f>
        <v>518</v>
      </c>
      <c r="M47" s="422">
        <f t="shared" ref="M47" si="40">L47</f>
        <v>518</v>
      </c>
      <c r="N47" s="422">
        <f t="shared" ref="N47" si="41">M47</f>
        <v>518</v>
      </c>
      <c r="O47" s="422">
        <f t="shared" ref="O47:Q47" si="42">N47</f>
        <v>518</v>
      </c>
      <c r="P47" s="422">
        <f t="shared" si="42"/>
        <v>518</v>
      </c>
      <c r="Q47" s="422">
        <f t="shared" si="42"/>
        <v>518</v>
      </c>
      <c r="R47" s="472">
        <v>427</v>
      </c>
      <c r="S47" s="142">
        <v>515</v>
      </c>
      <c r="T47" s="422">
        <v>515</v>
      </c>
      <c r="U47" s="28">
        <v>419</v>
      </c>
      <c r="V47" s="58">
        <v>427</v>
      </c>
      <c r="W47" s="99">
        <v>427</v>
      </c>
      <c r="X47" s="28">
        <v>419</v>
      </c>
      <c r="Y47" s="368">
        <v>427</v>
      </c>
      <c r="Z47" s="99">
        <v>427</v>
      </c>
      <c r="AA47" s="58">
        <v>425</v>
      </c>
      <c r="AB47" s="381">
        <v>425</v>
      </c>
      <c r="AC47" s="58">
        <v>425</v>
      </c>
      <c r="AD47" s="395">
        <v>425</v>
      </c>
      <c r="AE47" s="395">
        <v>463</v>
      </c>
      <c r="AF47" s="395">
        <v>463</v>
      </c>
      <c r="AG47" s="398">
        <v>425</v>
      </c>
      <c r="AH47" s="58">
        <v>464</v>
      </c>
      <c r="AI47" s="398">
        <v>464</v>
      </c>
      <c r="AJ47" s="58"/>
      <c r="AK47" s="58"/>
      <c r="AL47" s="58"/>
      <c r="AM47" s="36"/>
    </row>
    <row r="48" spans="1:39" ht="22.5" x14ac:dyDescent="0.2">
      <c r="A48" s="80"/>
      <c r="B48" s="105" t="s">
        <v>107</v>
      </c>
      <c r="C48" s="102" t="s">
        <v>108</v>
      </c>
      <c r="D48" s="104">
        <f t="shared" ref="D48" si="43">D47/D11*10000</f>
        <v>10.848962751196423</v>
      </c>
      <c r="E48" s="104">
        <f t="shared" ref="E48:I48" si="44">E47/E11*10000</f>
        <v>10.692427573252418</v>
      </c>
      <c r="F48" s="424">
        <f t="shared" ref="F48" si="45">F47/F11*10000</f>
        <v>10.853054254795353</v>
      </c>
      <c r="G48" s="104">
        <f t="shared" si="44"/>
        <v>10.692427573252418</v>
      </c>
      <c r="H48" s="104">
        <f t="shared" si="44"/>
        <v>10.692427573252418</v>
      </c>
      <c r="I48" s="424">
        <f t="shared" si="44"/>
        <v>11.042374579515757</v>
      </c>
      <c r="J48" s="424">
        <f t="shared" ref="J48:L48" si="46">J47/J11*10000</f>
        <v>10.692427573252418</v>
      </c>
      <c r="K48" s="424">
        <f t="shared" si="46"/>
        <v>10.692427573252418</v>
      </c>
      <c r="L48" s="424">
        <f t="shared" si="46"/>
        <v>11.042374579515757</v>
      </c>
      <c r="M48" s="424">
        <f t="shared" ref="M48:O48" si="47">M47/M11*10000</f>
        <v>10.692427573252418</v>
      </c>
      <c r="N48" s="424">
        <f t="shared" si="47"/>
        <v>10.692427573252418</v>
      </c>
      <c r="O48" s="424">
        <f t="shared" si="47"/>
        <v>11.042374579515757</v>
      </c>
      <c r="P48" s="424">
        <f t="shared" ref="P48:Q48" si="48">P47/P11*10000</f>
        <v>10.692427573252418</v>
      </c>
      <c r="Q48" s="424">
        <f t="shared" si="48"/>
        <v>10.692427573252418</v>
      </c>
      <c r="R48" s="474">
        <v>9.10249796419542</v>
      </c>
      <c r="S48" s="104">
        <f>S47/S11*10000</f>
        <v>10.628812957658111</v>
      </c>
      <c r="T48" s="424">
        <f>T47/T11*10000</f>
        <v>10.628812957658111</v>
      </c>
      <c r="U48" s="104">
        <f t="shared" ref="U48" si="49">U47/U11*10000</f>
        <v>9.0569333094120772</v>
      </c>
      <c r="V48" s="96">
        <f>V47/V11*10000</f>
        <v>9.10249796419542</v>
      </c>
      <c r="W48" s="96">
        <v>9.10249796419542</v>
      </c>
      <c r="X48" s="104">
        <f t="shared" ref="X48" si="50">X47/X11*10000</f>
        <v>9.0569333094120772</v>
      </c>
      <c r="Y48" s="96">
        <f>Y47/Y11*10000</f>
        <v>9.10249796419542</v>
      </c>
      <c r="Z48" s="96">
        <f t="shared" ref="Z48:AA48" si="51">Z47/Z11*10000</f>
        <v>9.10249796419542</v>
      </c>
      <c r="AA48" s="96">
        <f t="shared" si="51"/>
        <v>9.1866268651554481</v>
      </c>
      <c r="AB48" s="96">
        <f t="shared" ref="AB48" si="52">AB47/AB11*10000</f>
        <v>9.0598633133092594</v>
      </c>
      <c r="AC48" s="96">
        <f t="shared" ref="AC48:AE48" si="53">AC47/AC11*10000</f>
        <v>9.0598633133092594</v>
      </c>
      <c r="AD48" s="96">
        <f t="shared" si="53"/>
        <v>9.1866268651554481</v>
      </c>
      <c r="AE48" s="96">
        <f t="shared" si="53"/>
        <v>9.869921680146323</v>
      </c>
      <c r="AF48" s="96">
        <f t="shared" ref="AF48:AH48" si="54">AF47/AF11*10000</f>
        <v>9.869921680146323</v>
      </c>
      <c r="AG48" s="96">
        <f t="shared" si="54"/>
        <v>9.1866268651554481</v>
      </c>
      <c r="AH48" s="96">
        <f t="shared" si="54"/>
        <v>9.8912390055894033</v>
      </c>
      <c r="AI48" s="96">
        <f t="shared" ref="AI48" si="55">AI47/AI11*10000</f>
        <v>9.8912390055894033</v>
      </c>
      <c r="AJ48" s="96" t="e">
        <f t="shared" ref="AJ48" si="56">AJ47/AJ11*10000</f>
        <v>#DIV/0!</v>
      </c>
      <c r="AK48" s="96" t="e">
        <f t="shared" ref="AK48" si="57">AK47/AK11*10000</f>
        <v>#DIV/0!</v>
      </c>
      <c r="AL48" s="96" t="e">
        <f t="shared" ref="AL48" si="58">AL47/AL11*10000</f>
        <v>#DIV/0!</v>
      </c>
      <c r="AM48" s="96" t="e">
        <f t="shared" ref="AM48" si="59">AM47/AM11*10000</f>
        <v>#DIV/0!</v>
      </c>
    </row>
    <row r="49" spans="1:39" x14ac:dyDescent="0.2">
      <c r="A49" s="79" t="s">
        <v>109</v>
      </c>
      <c r="B49" s="152" t="s">
        <v>110</v>
      </c>
      <c r="C49" s="101" t="s">
        <v>76</v>
      </c>
      <c r="D49" s="28">
        <v>103</v>
      </c>
      <c r="E49" s="28">
        <v>103</v>
      </c>
      <c r="F49" s="422">
        <f>E49</f>
        <v>103</v>
      </c>
      <c r="G49" s="28">
        <f>E49</f>
        <v>103</v>
      </c>
      <c r="H49" s="27">
        <f>G49</f>
        <v>103</v>
      </c>
      <c r="I49" s="422">
        <f t="shared" ref="I49:K49" si="60">H49</f>
        <v>103</v>
      </c>
      <c r="J49" s="422">
        <f t="shared" si="60"/>
        <v>103</v>
      </c>
      <c r="K49" s="422">
        <f t="shared" si="60"/>
        <v>103</v>
      </c>
      <c r="L49" s="422">
        <f t="shared" ref="L49" si="61">K49</f>
        <v>103</v>
      </c>
      <c r="M49" s="422">
        <f t="shared" ref="M49" si="62">L49</f>
        <v>103</v>
      </c>
      <c r="N49" s="422">
        <f t="shared" ref="N49" si="63">M49</f>
        <v>103</v>
      </c>
      <c r="O49" s="422">
        <f t="shared" ref="O49:Q49" si="64">N49</f>
        <v>103</v>
      </c>
      <c r="P49" s="422">
        <f t="shared" si="64"/>
        <v>103</v>
      </c>
      <c r="Q49" s="422">
        <f t="shared" si="64"/>
        <v>103</v>
      </c>
      <c r="R49" s="472">
        <v>60</v>
      </c>
      <c r="S49" s="107">
        <v>100</v>
      </c>
      <c r="T49" s="107">
        <v>100</v>
      </c>
      <c r="U49" s="28">
        <v>52</v>
      </c>
      <c r="V49" s="58">
        <v>60</v>
      </c>
      <c r="W49" s="99">
        <v>60</v>
      </c>
      <c r="X49" s="28">
        <v>52</v>
      </c>
      <c r="Y49" s="368">
        <v>60</v>
      </c>
      <c r="Z49" s="99">
        <v>60</v>
      </c>
      <c r="AA49" s="58">
        <v>52</v>
      </c>
      <c r="AB49" s="381">
        <v>58</v>
      </c>
      <c r="AC49" s="58">
        <v>58</v>
      </c>
      <c r="AD49" s="395">
        <v>52</v>
      </c>
      <c r="AE49" s="395">
        <v>58</v>
      </c>
      <c r="AF49" s="395">
        <v>58</v>
      </c>
      <c r="AG49" s="398">
        <v>52</v>
      </c>
      <c r="AH49" s="58">
        <v>58</v>
      </c>
      <c r="AI49" s="398">
        <v>58</v>
      </c>
      <c r="AJ49" s="58"/>
      <c r="AK49" s="58"/>
      <c r="AL49" s="58"/>
      <c r="AM49" s="36"/>
    </row>
    <row r="50" spans="1:39" ht="22.5" x14ac:dyDescent="0.2">
      <c r="A50" s="80"/>
      <c r="B50" s="105" t="s">
        <v>111</v>
      </c>
      <c r="C50" s="102" t="s">
        <v>108</v>
      </c>
      <c r="D50" s="104">
        <f t="shared" ref="D50" si="65">D49/D11*10000</f>
        <v>2.1572261841182074</v>
      </c>
      <c r="E50" s="104">
        <f t="shared" ref="E50:I50" si="66">E49/E11*10000</f>
        <v>2.1261004634073339</v>
      </c>
      <c r="F50" s="424">
        <f t="shared" ref="F50" si="67">F49/F11*10000</f>
        <v>2.1580397456446359</v>
      </c>
      <c r="G50" s="104">
        <f t="shared" si="66"/>
        <v>2.1261004634073339</v>
      </c>
      <c r="H50" s="104">
        <f t="shared" si="66"/>
        <v>2.1261004634073339</v>
      </c>
      <c r="I50" s="424">
        <f t="shared" si="66"/>
        <v>2.1956845206373026</v>
      </c>
      <c r="J50" s="424">
        <f t="shared" ref="J50:L50" si="68">J49/J11*10000</f>
        <v>2.1261004634073339</v>
      </c>
      <c r="K50" s="424">
        <f t="shared" si="68"/>
        <v>2.1261004634073339</v>
      </c>
      <c r="L50" s="424">
        <f t="shared" si="68"/>
        <v>2.1956845206373026</v>
      </c>
      <c r="M50" s="424">
        <f t="shared" ref="M50:O50" si="69">M49/M11*10000</f>
        <v>2.1261004634073339</v>
      </c>
      <c r="N50" s="424">
        <f t="shared" si="69"/>
        <v>2.1261004634073339</v>
      </c>
      <c r="O50" s="424">
        <f t="shared" si="69"/>
        <v>2.1956845206373026</v>
      </c>
      <c r="P50" s="424">
        <f t="shared" ref="P50:Q50" si="70">P49/P11*10000</f>
        <v>2.1261004634073339</v>
      </c>
      <c r="Q50" s="424">
        <f t="shared" si="70"/>
        <v>2.1261004634073339</v>
      </c>
      <c r="R50" s="474">
        <v>1.2790395265848367</v>
      </c>
      <c r="S50" s="104">
        <f>S49/S11*10000</f>
        <v>2.0638471762442934</v>
      </c>
      <c r="T50" s="424">
        <f>T49/T11*10000</f>
        <v>2.0638471762442934</v>
      </c>
      <c r="U50" s="104">
        <f t="shared" ref="U50" si="71">U49/U11*10000</f>
        <v>1.1240108164425491</v>
      </c>
      <c r="V50" s="96">
        <f>V49/V11*10000</f>
        <v>1.2790395265848367</v>
      </c>
      <c r="W50" s="96">
        <v>1.2790395265848367</v>
      </c>
      <c r="X50" s="104">
        <f t="shared" ref="X50" si="72">X49/X11*10000</f>
        <v>1.1240108164425491</v>
      </c>
      <c r="Y50" s="96">
        <f>Y49/Y11*10000</f>
        <v>1.2790395265848367</v>
      </c>
      <c r="Z50" s="96">
        <f t="shared" ref="Z50:AM50" si="73">Z49/Z11*10000</f>
        <v>1.2790395265848367</v>
      </c>
      <c r="AA50" s="96">
        <f t="shared" si="73"/>
        <v>1.1240108164425491</v>
      </c>
      <c r="AB50" s="96">
        <f t="shared" si="73"/>
        <v>1.2364048756986754</v>
      </c>
      <c r="AC50" s="96">
        <f t="shared" si="73"/>
        <v>1.2364048756986754</v>
      </c>
      <c r="AD50" s="96">
        <f t="shared" ref="AD50:AF50" si="74">AD49/AD11*10000</f>
        <v>1.1240108164425491</v>
      </c>
      <c r="AE50" s="96">
        <f t="shared" si="74"/>
        <v>1.2364048756986754</v>
      </c>
      <c r="AF50" s="96">
        <f t="shared" si="74"/>
        <v>1.2364048756986754</v>
      </c>
      <c r="AG50" s="96">
        <f t="shared" ref="AG50:AH50" si="75">AG49/AG11*10000</f>
        <v>1.1240108164425491</v>
      </c>
      <c r="AH50" s="96">
        <f t="shared" si="75"/>
        <v>1.2364048756986754</v>
      </c>
      <c r="AI50" s="96">
        <f t="shared" ref="AI50" si="76">AI49/AI11*10000</f>
        <v>1.2364048756986754</v>
      </c>
      <c r="AJ50" s="96" t="e">
        <f t="shared" si="73"/>
        <v>#DIV/0!</v>
      </c>
      <c r="AK50" s="96" t="e">
        <f t="shared" si="73"/>
        <v>#DIV/0!</v>
      </c>
      <c r="AL50" s="96" t="e">
        <f t="shared" si="73"/>
        <v>#DIV/0!</v>
      </c>
      <c r="AM50" s="96" t="e">
        <f t="shared" si="73"/>
        <v>#DIV/0!</v>
      </c>
    </row>
    <row r="51" spans="1:39" ht="30" customHeight="1" x14ac:dyDescent="0.2">
      <c r="A51" s="79">
        <v>3</v>
      </c>
      <c r="B51" s="152" t="s">
        <v>112</v>
      </c>
      <c r="C51" s="101" t="s">
        <v>77</v>
      </c>
      <c r="D51" s="104">
        <f>26/106*100</f>
        <v>24.528301886792452</v>
      </c>
      <c r="E51" s="424">
        <f>26/106*100</f>
        <v>24.528301886792452</v>
      </c>
      <c r="F51" s="424">
        <f>E51</f>
        <v>24.528301886792452</v>
      </c>
      <c r="G51" s="104">
        <f>26/106*100</f>
        <v>24.528301886792452</v>
      </c>
      <c r="H51" s="104">
        <f>G51</f>
        <v>24.528301886792452</v>
      </c>
      <c r="I51" s="424">
        <f>20/108*100</f>
        <v>18.518518518518519</v>
      </c>
      <c r="J51" s="424">
        <f>28/106*100</f>
        <v>26.415094339622641</v>
      </c>
      <c r="K51" s="424">
        <f t="shared" ref="K51" si="77">J51</f>
        <v>26.415094339622641</v>
      </c>
      <c r="L51" s="424">
        <f>20/108*100</f>
        <v>18.518518518518519</v>
      </c>
      <c r="M51" s="424">
        <f>28/106*100</f>
        <v>26.415094339622641</v>
      </c>
      <c r="N51" s="424">
        <f t="shared" ref="N51" si="78">M51</f>
        <v>26.415094339622641</v>
      </c>
      <c r="O51" s="424">
        <f>20/108*100</f>
        <v>18.518518518518519</v>
      </c>
      <c r="P51" s="424">
        <f>28/106*100</f>
        <v>26.415094339622641</v>
      </c>
      <c r="Q51" s="424">
        <f t="shared" ref="Q51" si="79">P51</f>
        <v>26.415094339622641</v>
      </c>
      <c r="R51" s="474">
        <v>19.417475728155338</v>
      </c>
      <c r="S51" s="104">
        <f>28/106*100</f>
        <v>26.415094339622641</v>
      </c>
      <c r="T51" s="424">
        <f>28/106*100</f>
        <v>26.415094339622641</v>
      </c>
      <c r="U51" s="104">
        <f t="shared" ref="U51" si="80">19/108*100</f>
        <v>17.592592592592592</v>
      </c>
      <c r="V51" s="104">
        <f>20/103*100</f>
        <v>19.417475728155338</v>
      </c>
      <c r="W51" s="96">
        <v>19.417475728155338</v>
      </c>
      <c r="X51" s="104">
        <f t="shared" ref="X51" si="81">19/108*100</f>
        <v>17.592592592592592</v>
      </c>
      <c r="Y51" s="104">
        <f>20/106*100</f>
        <v>18.867924528301888</v>
      </c>
      <c r="Z51" s="104">
        <f>20/106*100</f>
        <v>18.867924528301888</v>
      </c>
      <c r="AA51" s="58">
        <v>17.59</v>
      </c>
      <c r="AB51" s="104">
        <f>20/106*100</f>
        <v>18.867924528301888</v>
      </c>
      <c r="AC51" s="104">
        <f t="shared" ref="AC51:AM51" si="82">20/106*100</f>
        <v>18.867924528301888</v>
      </c>
      <c r="AD51" s="395">
        <v>17.59</v>
      </c>
      <c r="AE51" s="104">
        <f>20/106*100</f>
        <v>18.867924528301888</v>
      </c>
      <c r="AF51" s="104">
        <f t="shared" si="82"/>
        <v>18.867924528301888</v>
      </c>
      <c r="AG51" s="398">
        <v>17.59</v>
      </c>
      <c r="AH51" s="104">
        <f t="shared" si="82"/>
        <v>18.867924528301888</v>
      </c>
      <c r="AI51" s="104">
        <f t="shared" si="82"/>
        <v>18.867924528301888</v>
      </c>
      <c r="AJ51" s="104">
        <f t="shared" si="82"/>
        <v>18.867924528301888</v>
      </c>
      <c r="AK51" s="104">
        <f t="shared" si="82"/>
        <v>18.867924528301888</v>
      </c>
      <c r="AL51" s="104">
        <f t="shared" si="82"/>
        <v>18.867924528301888</v>
      </c>
      <c r="AM51" s="104">
        <f t="shared" si="82"/>
        <v>18.867924528301888</v>
      </c>
    </row>
    <row r="52" spans="1:39" ht="30.75" customHeight="1" x14ac:dyDescent="0.2">
      <c r="A52" s="79">
        <v>5</v>
      </c>
      <c r="B52" s="152" t="s">
        <v>113</v>
      </c>
      <c r="C52" s="79" t="s">
        <v>77</v>
      </c>
      <c r="D52" s="103">
        <f>864/915*100</f>
        <v>94.426229508196727</v>
      </c>
      <c r="E52" s="103">
        <f>864/915*100</f>
        <v>94.426229508196727</v>
      </c>
      <c r="F52" s="428">
        <f t="shared" ref="F52:AM52" si="83">870/916*100</f>
        <v>94.978165938864635</v>
      </c>
      <c r="G52" s="111">
        <f>864/915*100</f>
        <v>94.426229508196727</v>
      </c>
      <c r="H52" s="428">
        <f>864/915*100</f>
        <v>94.426229508196727</v>
      </c>
      <c r="I52" s="428">
        <f t="shared" si="83"/>
        <v>94.978165938864635</v>
      </c>
      <c r="J52" s="428">
        <f t="shared" ref="J52:P52" si="84">864/915*100</f>
        <v>94.426229508196727</v>
      </c>
      <c r="K52" s="428">
        <f t="shared" si="84"/>
        <v>94.426229508196727</v>
      </c>
      <c r="L52" s="428">
        <f t="shared" si="83"/>
        <v>94.978165938864635</v>
      </c>
      <c r="M52" s="428">
        <f t="shared" si="84"/>
        <v>94.426229508196727</v>
      </c>
      <c r="N52" s="428">
        <f t="shared" si="84"/>
        <v>94.426229508196727</v>
      </c>
      <c r="O52" s="428">
        <f t="shared" si="83"/>
        <v>94.978165938864635</v>
      </c>
      <c r="P52" s="428">
        <f t="shared" si="84"/>
        <v>94.426229508196727</v>
      </c>
      <c r="Q52" s="428">
        <f>864/915*100</f>
        <v>94.426229508196727</v>
      </c>
      <c r="R52" s="428">
        <f t="shared" si="83"/>
        <v>94.978165938864635</v>
      </c>
      <c r="S52" s="428">
        <f>864/915*100</f>
        <v>94.426229508196727</v>
      </c>
      <c r="T52" s="428">
        <f>864/915*100</f>
        <v>94.426229508196727</v>
      </c>
      <c r="U52" s="428">
        <f t="shared" si="83"/>
        <v>94.978165938864635</v>
      </c>
      <c r="V52" s="428">
        <f t="shared" si="83"/>
        <v>94.978165938864635</v>
      </c>
      <c r="W52" s="428">
        <f t="shared" si="83"/>
        <v>94.978165938864635</v>
      </c>
      <c r="X52" s="428">
        <f t="shared" si="83"/>
        <v>94.978165938864635</v>
      </c>
      <c r="Y52" s="428">
        <f t="shared" si="83"/>
        <v>94.978165938864635</v>
      </c>
      <c r="Z52" s="428">
        <f t="shared" si="83"/>
        <v>94.978165938864635</v>
      </c>
      <c r="AA52" s="428">
        <f t="shared" si="83"/>
        <v>94.978165938864635</v>
      </c>
      <c r="AB52" s="428">
        <f t="shared" si="83"/>
        <v>94.978165938864635</v>
      </c>
      <c r="AC52" s="428">
        <f t="shared" si="83"/>
        <v>94.978165938864635</v>
      </c>
      <c r="AD52" s="428">
        <f t="shared" si="83"/>
        <v>94.978165938864635</v>
      </c>
      <c r="AE52" s="428">
        <f t="shared" si="83"/>
        <v>94.978165938864635</v>
      </c>
      <c r="AF52" s="428">
        <f t="shared" si="83"/>
        <v>94.978165938864635</v>
      </c>
      <c r="AG52" s="428">
        <f t="shared" si="83"/>
        <v>94.978165938864635</v>
      </c>
      <c r="AH52" s="428">
        <f t="shared" si="83"/>
        <v>94.978165938864635</v>
      </c>
      <c r="AI52" s="428">
        <f t="shared" si="83"/>
        <v>94.978165938864635</v>
      </c>
      <c r="AJ52" s="428">
        <f t="shared" si="83"/>
        <v>94.978165938864635</v>
      </c>
      <c r="AK52" s="428">
        <f t="shared" si="83"/>
        <v>94.978165938864635</v>
      </c>
      <c r="AL52" s="428">
        <f t="shared" si="83"/>
        <v>94.978165938864635</v>
      </c>
      <c r="AM52" s="428">
        <f t="shared" si="83"/>
        <v>94.978165938864635</v>
      </c>
    </row>
    <row r="53" spans="1:39" x14ac:dyDescent="0.2">
      <c r="A53" s="77" t="s">
        <v>114</v>
      </c>
      <c r="B53" s="158" t="s">
        <v>115</v>
      </c>
      <c r="C53" s="85"/>
      <c r="D53" s="416"/>
      <c r="E53" s="58"/>
      <c r="F53" s="450"/>
      <c r="G53" s="58"/>
      <c r="H53" s="58"/>
      <c r="I53" s="58"/>
      <c r="J53" s="58"/>
      <c r="K53" s="58"/>
      <c r="L53" s="462"/>
      <c r="M53" s="462"/>
      <c r="N53" s="462"/>
      <c r="O53" s="465"/>
      <c r="P53" s="465"/>
      <c r="Q53" s="465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381"/>
      <c r="AC53" s="381"/>
      <c r="AD53" s="58"/>
      <c r="AE53" s="58"/>
      <c r="AF53" s="58"/>
      <c r="AG53" s="58"/>
      <c r="AH53" s="58"/>
      <c r="AI53" s="58"/>
      <c r="AJ53" s="58"/>
      <c r="AK53" s="58"/>
      <c r="AL53" s="58"/>
      <c r="AM53" s="36"/>
    </row>
    <row r="54" spans="1:39" ht="17.25" customHeight="1" x14ac:dyDescent="0.2">
      <c r="A54" s="79">
        <v>1</v>
      </c>
      <c r="B54" s="152" t="s">
        <v>116</v>
      </c>
      <c r="C54" s="79" t="s">
        <v>117</v>
      </c>
      <c r="D54" s="99">
        <v>91</v>
      </c>
      <c r="E54" s="99">
        <v>91</v>
      </c>
      <c r="F54" s="426">
        <v>89</v>
      </c>
      <c r="G54" s="108">
        <v>91</v>
      </c>
      <c r="H54" s="108">
        <v>91</v>
      </c>
      <c r="I54" s="426">
        <v>87</v>
      </c>
      <c r="J54" s="426">
        <v>91</v>
      </c>
      <c r="K54" s="426">
        <v>91</v>
      </c>
      <c r="L54" s="426">
        <v>87</v>
      </c>
      <c r="M54" s="426">
        <v>91</v>
      </c>
      <c r="N54" s="426">
        <v>91</v>
      </c>
      <c r="O54" s="426">
        <v>87</v>
      </c>
      <c r="P54" s="426">
        <v>91</v>
      </c>
      <c r="Q54" s="426">
        <v>91</v>
      </c>
      <c r="R54" s="472">
        <v>86</v>
      </c>
      <c r="S54" s="426">
        <v>91</v>
      </c>
      <c r="T54" s="426">
        <v>91</v>
      </c>
      <c r="U54" s="365">
        <v>87</v>
      </c>
      <c r="V54" s="365">
        <v>86</v>
      </c>
      <c r="W54" s="365">
        <v>86</v>
      </c>
      <c r="X54" s="368">
        <v>87</v>
      </c>
      <c r="Y54" s="368">
        <v>86</v>
      </c>
      <c r="Z54" s="368">
        <v>86</v>
      </c>
      <c r="AA54" s="381">
        <v>87</v>
      </c>
      <c r="AB54" s="381">
        <v>86</v>
      </c>
      <c r="AC54" s="381">
        <v>86</v>
      </c>
      <c r="AD54" s="395">
        <v>87</v>
      </c>
      <c r="AE54" s="395">
        <v>86</v>
      </c>
      <c r="AF54" s="395">
        <v>86</v>
      </c>
      <c r="AG54" s="398">
        <v>87</v>
      </c>
      <c r="AH54" s="58">
        <v>86</v>
      </c>
      <c r="AI54" s="398">
        <v>86</v>
      </c>
      <c r="AJ54" s="58"/>
      <c r="AK54" s="58"/>
      <c r="AL54" s="58"/>
      <c r="AM54" s="36"/>
    </row>
    <row r="55" spans="1:39" ht="24.75" customHeight="1" x14ac:dyDescent="0.2">
      <c r="A55" s="79"/>
      <c r="B55" s="105" t="s">
        <v>118</v>
      </c>
      <c r="C55" s="79" t="s">
        <v>117</v>
      </c>
      <c r="D55" s="416">
        <v>2</v>
      </c>
      <c r="E55" s="58">
        <v>2</v>
      </c>
      <c r="F55" s="450">
        <v>2</v>
      </c>
      <c r="G55" s="58">
        <v>2</v>
      </c>
      <c r="H55" s="58">
        <v>2</v>
      </c>
      <c r="I55" s="457">
        <v>3</v>
      </c>
      <c r="J55" s="457">
        <v>2</v>
      </c>
      <c r="K55" s="457">
        <v>2</v>
      </c>
      <c r="L55" s="462">
        <v>3</v>
      </c>
      <c r="M55" s="462">
        <v>2</v>
      </c>
      <c r="N55" s="462">
        <v>2</v>
      </c>
      <c r="O55" s="465">
        <v>3</v>
      </c>
      <c r="P55" s="465">
        <v>2</v>
      </c>
      <c r="Q55" s="465">
        <v>2</v>
      </c>
      <c r="R55" s="472">
        <v>3</v>
      </c>
      <c r="S55" s="472">
        <v>2</v>
      </c>
      <c r="T55" s="472">
        <v>2</v>
      </c>
      <c r="U55" s="365">
        <v>6</v>
      </c>
      <c r="V55" s="365">
        <v>3</v>
      </c>
      <c r="W55" s="365">
        <v>3</v>
      </c>
      <c r="X55" s="368">
        <v>6</v>
      </c>
      <c r="Y55" s="368">
        <v>3</v>
      </c>
      <c r="Z55" s="368">
        <v>3</v>
      </c>
      <c r="AA55" s="381">
        <v>6</v>
      </c>
      <c r="AB55" s="381">
        <v>3</v>
      </c>
      <c r="AC55" s="381">
        <v>3</v>
      </c>
      <c r="AD55" s="395">
        <v>6</v>
      </c>
      <c r="AE55" s="395">
        <v>3</v>
      </c>
      <c r="AF55" s="395">
        <v>3</v>
      </c>
      <c r="AG55" s="398">
        <v>6</v>
      </c>
      <c r="AH55" s="58">
        <v>3</v>
      </c>
      <c r="AI55" s="398">
        <v>3</v>
      </c>
      <c r="AJ55" s="58"/>
      <c r="AK55" s="58"/>
      <c r="AL55" s="58"/>
      <c r="AM55" s="36"/>
    </row>
    <row r="56" spans="1:39" ht="22.5" customHeight="1" x14ac:dyDescent="0.2">
      <c r="A56" s="86"/>
      <c r="B56" s="105" t="s">
        <v>119</v>
      </c>
      <c r="C56" s="80" t="s">
        <v>77</v>
      </c>
      <c r="D56" s="129">
        <f>D54/106*100</f>
        <v>85.84905660377359</v>
      </c>
      <c r="E56" s="129">
        <f>E54/106*100</f>
        <v>85.84905660377359</v>
      </c>
      <c r="F56" s="429">
        <f>F54/108*100</f>
        <v>82.407407407407405</v>
      </c>
      <c r="G56" s="130">
        <f>G54/106*100</f>
        <v>85.84905660377359</v>
      </c>
      <c r="H56" s="130">
        <f>H54/108*100</f>
        <v>84.259259259259252</v>
      </c>
      <c r="I56" s="429">
        <f t="shared" ref="I56:L56" si="85">I54/108*100</f>
        <v>80.555555555555557</v>
      </c>
      <c r="J56" s="429">
        <f t="shared" si="85"/>
        <v>84.259259259259252</v>
      </c>
      <c r="K56" s="429">
        <f t="shared" si="85"/>
        <v>84.259259259259252</v>
      </c>
      <c r="L56" s="429">
        <f t="shared" si="85"/>
        <v>80.555555555555557</v>
      </c>
      <c r="M56" s="429">
        <f t="shared" ref="M56:O56" si="86">M54/108*100</f>
        <v>84.259259259259252</v>
      </c>
      <c r="N56" s="429">
        <f t="shared" si="86"/>
        <v>84.259259259259252</v>
      </c>
      <c r="O56" s="429">
        <f t="shared" si="86"/>
        <v>80.555555555555557</v>
      </c>
      <c r="P56" s="429">
        <f>P54/106*100</f>
        <v>85.84905660377359</v>
      </c>
      <c r="Q56" s="429">
        <f>Q54/106*100</f>
        <v>85.84905660377359</v>
      </c>
      <c r="R56" s="473">
        <f>R54/106*100</f>
        <v>81.132075471698116</v>
      </c>
      <c r="S56" s="129">
        <f>S54/106*100</f>
        <v>85.84905660377359</v>
      </c>
      <c r="T56" s="473">
        <f>T54/106*100</f>
        <v>85.84905660377359</v>
      </c>
      <c r="U56" s="345">
        <f>U54/108*100</f>
        <v>80.555555555555557</v>
      </c>
      <c r="V56" s="129">
        <f t="shared" ref="V56:W56" si="87">V54/106*100</f>
        <v>81.132075471698116</v>
      </c>
      <c r="W56" s="129">
        <f t="shared" si="87"/>
        <v>81.132075471698116</v>
      </c>
      <c r="X56" s="370">
        <f>X54/108*100</f>
        <v>80.555555555555557</v>
      </c>
      <c r="Y56" s="129">
        <f t="shared" ref="Y56:Z56" si="88">Y54/106*100</f>
        <v>81.132075471698116</v>
      </c>
      <c r="Z56" s="129">
        <f t="shared" si="88"/>
        <v>81.132075471698116</v>
      </c>
      <c r="AA56" s="370">
        <f>AA54/108*100</f>
        <v>80.555555555555557</v>
      </c>
      <c r="AB56" s="129">
        <f t="shared" ref="AB56:AC56" si="89">AB54/106*100</f>
        <v>81.132075471698116</v>
      </c>
      <c r="AC56" s="129">
        <f t="shared" si="89"/>
        <v>81.132075471698116</v>
      </c>
      <c r="AD56" s="370">
        <f>AD54/108*100</f>
        <v>80.555555555555557</v>
      </c>
      <c r="AE56" s="129">
        <f t="shared" ref="AE56:AF56" si="90">AE54/106*100</f>
        <v>81.132075471698116</v>
      </c>
      <c r="AF56" s="129">
        <f t="shared" si="90"/>
        <v>81.132075471698116</v>
      </c>
      <c r="AG56" s="370">
        <f>AG54/108*100</f>
        <v>80.555555555555557</v>
      </c>
      <c r="AH56" s="370">
        <f>AH54/106*100</f>
        <v>81.132075471698116</v>
      </c>
      <c r="AI56" s="370">
        <f>AI54/106*100</f>
        <v>81.132075471698116</v>
      </c>
      <c r="AJ56" s="58"/>
      <c r="AK56" s="58"/>
      <c r="AL56" s="58"/>
      <c r="AM56" s="36"/>
    </row>
    <row r="57" spans="1:39" ht="31.5" customHeight="1" x14ac:dyDescent="0.2">
      <c r="A57" s="79">
        <v>2</v>
      </c>
      <c r="B57" s="152" t="s">
        <v>120</v>
      </c>
      <c r="C57" s="79" t="s">
        <v>121</v>
      </c>
      <c r="D57" s="446">
        <f>15/800*1000</f>
        <v>18.75</v>
      </c>
      <c r="E57" s="452">
        <f>18/673*1000</f>
        <v>26.745913818722137</v>
      </c>
      <c r="F57" s="453">
        <f>20/718*1000</f>
        <v>27.855153203342617</v>
      </c>
      <c r="G57" s="424">
        <f>10/647*1000</f>
        <v>15.45595054095827</v>
      </c>
      <c r="H57" s="452">
        <f>(18+10)/(673+647)*1000</f>
        <v>21.212121212121215</v>
      </c>
      <c r="I57" s="133">
        <f>((13+22+25)/(861+800+700))*1000</f>
        <v>25.412960609911053</v>
      </c>
      <c r="J57" s="424">
        <f>13/643*1000</f>
        <v>20.217729393468119</v>
      </c>
      <c r="K57" s="452">
        <f>(18+10+13)/(673+647+643)*1000</f>
        <v>20.886398369842077</v>
      </c>
      <c r="L57" s="138">
        <f>((13+22+25+33)/(861+800+700+745))*1000</f>
        <v>29.94204764971024</v>
      </c>
      <c r="M57" s="466">
        <f>14/642*1000</f>
        <v>21.806853582554517</v>
      </c>
      <c r="N57" s="452">
        <f>(18+10+13+14)/(673+647+643+642)*1000</f>
        <v>21.113243761996159</v>
      </c>
      <c r="O57" s="138">
        <f>((13+22+25+33+19)/(861+800+700+745+656))*1000</f>
        <v>29.771398192450825</v>
      </c>
      <c r="P57" s="615" t="s">
        <v>289</v>
      </c>
      <c r="Q57" s="616"/>
      <c r="R57" s="143">
        <f>((13+22+25+33+19+13)/(861+800+700+745+656+674))*1000</f>
        <v>28.178539224526602</v>
      </c>
      <c r="S57" s="621" t="s">
        <v>279</v>
      </c>
      <c r="T57" s="622"/>
      <c r="U57" s="383">
        <f>21/720*1000</f>
        <v>29.166666666666668</v>
      </c>
      <c r="V57" s="386">
        <f>22/685*1000</f>
        <v>32.116788321167881</v>
      </c>
      <c r="W57" s="143">
        <f>((13+22+25+33+19+13+22)/(861+800+700+745+656+674+685))*1000</f>
        <v>28.705330990041009</v>
      </c>
      <c r="X57" s="384">
        <f>21/826*1000</f>
        <v>25.423728813559325</v>
      </c>
      <c r="Y57" s="104">
        <f>31/769*1000</f>
        <v>40.312093628088427</v>
      </c>
      <c r="Z57" s="143">
        <f>((13+22+25+33+19+13+29+31)/(861+800+700+745+656+674+685+769))*1000</f>
        <v>31.409168081494055</v>
      </c>
      <c r="AA57" s="96">
        <f>29/783*1000</f>
        <v>37.037037037037038</v>
      </c>
      <c r="AB57" s="104">
        <f>15/794*1000</f>
        <v>18.891687657430733</v>
      </c>
      <c r="AC57" s="143">
        <f>((13+22+25+33+19+13+29+31+15)/(861+800+700+745+656+674+685+769+794))*1000</f>
        <v>29.922202274087372</v>
      </c>
      <c r="AD57" s="96">
        <f>30/789*1000</f>
        <v>38.022813688212928</v>
      </c>
      <c r="AE57" s="371">
        <f>19/953*1000</f>
        <v>19.937040923399792</v>
      </c>
      <c r="AF57" s="143">
        <f>((13+22+25+33+19+13+29+31+15+19)/(861+800+700+745+656+674+685+769+794+953))*1000</f>
        <v>28.676181746759198</v>
      </c>
      <c r="AG57" s="402">
        <f>20/940*1000</f>
        <v>21.276595744680851</v>
      </c>
      <c r="AH57" s="607" t="s">
        <v>267</v>
      </c>
      <c r="AI57" s="608"/>
      <c r="AJ57" s="58"/>
      <c r="AK57" s="58"/>
      <c r="AL57" s="58"/>
      <c r="AM57" s="36"/>
    </row>
    <row r="58" spans="1:39" ht="28.5" customHeight="1" x14ac:dyDescent="0.2">
      <c r="A58" s="79">
        <v>3</v>
      </c>
      <c r="B58" s="152" t="s">
        <v>122</v>
      </c>
      <c r="C58" s="79" t="s">
        <v>121</v>
      </c>
      <c r="D58" s="447">
        <f>21/800*1000</f>
        <v>26.25</v>
      </c>
      <c r="E58" s="459">
        <f>20/673*1000</f>
        <v>29.717682020802375</v>
      </c>
      <c r="F58" s="460">
        <f>26/718*1000</f>
        <v>36.211699164345404</v>
      </c>
      <c r="G58" s="424">
        <f>14/647*1000</f>
        <v>21.638330757341574</v>
      </c>
      <c r="H58" s="459">
        <f>(20+14)/(673+647)*1000</f>
        <v>25.757575757575758</v>
      </c>
      <c r="I58" s="433">
        <f>((16+27+32)/(861+800+700))*1000</f>
        <v>31.76620076238882</v>
      </c>
      <c r="J58" s="424">
        <f>21/643*1000</f>
        <v>32.65940902021773</v>
      </c>
      <c r="K58" s="459">
        <f>(20+14+21)/(673+647+643)*1000</f>
        <v>28.018339276617422</v>
      </c>
      <c r="L58" s="434">
        <f>((16+27+32+41)/(861+800+700+745))*1000</f>
        <v>37.347070186735351</v>
      </c>
      <c r="M58" s="466">
        <f>20/642*1000</f>
        <v>31.152647975077883</v>
      </c>
      <c r="N58" s="459">
        <f>(20+14+21+20)/(673+647+643+642)*1000</f>
        <v>28.790786948176585</v>
      </c>
      <c r="O58" s="434">
        <f>((16+27+32+41+27)/(861+800+700+745+656))*1000</f>
        <v>38.011695906432749</v>
      </c>
      <c r="P58" s="617"/>
      <c r="Q58" s="618"/>
      <c r="R58" s="435">
        <f>((16+27+32+41+27+14)/(861+800+700+745+656+674))*1000</f>
        <v>35.392245266005411</v>
      </c>
      <c r="S58" s="623"/>
      <c r="T58" s="624"/>
      <c r="U58" s="436">
        <f>32/720*1000</f>
        <v>44.444444444444443</v>
      </c>
      <c r="V58" s="437">
        <f>28/685*1000</f>
        <v>40.875912408759127</v>
      </c>
      <c r="W58" s="435">
        <f>((16+27+32+41+27+14+28)/(861+800+700+745+656+674+685))*1000</f>
        <v>36.125756688146843</v>
      </c>
      <c r="X58" s="438">
        <f>24/826*1000</f>
        <v>29.055690072639226</v>
      </c>
      <c r="Y58" s="342">
        <f>37/769*1000</f>
        <v>48.11443433029909</v>
      </c>
      <c r="Z58" s="435">
        <f>((16+27+32+41+27+14+38+37)/(861+800+700+745+656+674+685+769))*1000</f>
        <v>39.388794567062817</v>
      </c>
      <c r="AA58" s="129">
        <f>36/783*1000</f>
        <v>45.977011494252871</v>
      </c>
      <c r="AB58" s="342">
        <f>15/794*1000</f>
        <v>18.891687657430733</v>
      </c>
      <c r="AC58" s="435">
        <f>((16+27+32+41+27+14+38+37+15)/(861+800+700+745+656+674+685+769+794))*1000</f>
        <v>36.953919808497901</v>
      </c>
      <c r="AD58" s="129">
        <f>36/785*1000</f>
        <v>45.859872611464965</v>
      </c>
      <c r="AE58" s="439">
        <f>31/953*1000</f>
        <v>32.528856243441759</v>
      </c>
      <c r="AF58" s="435">
        <f>((16+27+32+41+27+14+38+37+15+31)/(861+800+700+745+656+674+685+769+794+953))*1000</f>
        <v>36.401728427392953</v>
      </c>
      <c r="AG58" s="403">
        <f>23/940*1000</f>
        <v>24.468085106382979</v>
      </c>
      <c r="AH58" s="609"/>
      <c r="AI58" s="610"/>
      <c r="AJ58" s="58"/>
      <c r="AK58" s="58"/>
      <c r="AL58" s="58"/>
      <c r="AM58" s="36"/>
    </row>
    <row r="59" spans="1:39" ht="29.25" customHeight="1" x14ac:dyDescent="0.2">
      <c r="A59" s="79">
        <v>4</v>
      </c>
      <c r="B59" s="152" t="s">
        <v>123</v>
      </c>
      <c r="C59" s="79" t="s">
        <v>124</v>
      </c>
      <c r="D59" s="607" t="s">
        <v>272</v>
      </c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08"/>
      <c r="AJ59" s="58"/>
      <c r="AK59" s="58"/>
      <c r="AL59" s="58"/>
      <c r="AM59" s="36"/>
    </row>
    <row r="60" spans="1:39" ht="27" customHeight="1" x14ac:dyDescent="0.2">
      <c r="A60" s="79"/>
      <c r="B60" s="152" t="s">
        <v>123</v>
      </c>
      <c r="C60" s="79" t="s">
        <v>124</v>
      </c>
      <c r="D60" s="611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2"/>
      <c r="AJ60" s="456"/>
      <c r="AK60" s="456"/>
      <c r="AL60" s="456"/>
      <c r="AM60" s="36"/>
    </row>
    <row r="61" spans="1:39" ht="33" customHeight="1" x14ac:dyDescent="0.2">
      <c r="A61" s="79">
        <v>5</v>
      </c>
      <c r="B61" s="152" t="s">
        <v>125</v>
      </c>
      <c r="C61" s="79" t="s">
        <v>261</v>
      </c>
      <c r="D61" s="19">
        <v>0</v>
      </c>
      <c r="E61" s="19">
        <v>0</v>
      </c>
      <c r="F61" s="19">
        <v>0</v>
      </c>
      <c r="G61" s="453">
        <f>1/647*100000</f>
        <v>154.5595054095827</v>
      </c>
      <c r="H61" s="461">
        <f>1/(673+647)*100000</f>
        <v>75.757575757575751</v>
      </c>
      <c r="I61" s="19">
        <v>0</v>
      </c>
      <c r="J61" s="423">
        <f>1/643*100000</f>
        <v>155.52099533437013</v>
      </c>
      <c r="K61" s="461">
        <f>2/(673+645+643)*100000</f>
        <v>101.98878123406426</v>
      </c>
      <c r="L61" s="440">
        <f>3/685*100000</f>
        <v>437.95620437956211</v>
      </c>
      <c r="M61" s="467">
        <v>0</v>
      </c>
      <c r="N61" s="461">
        <f>2/(673+645+643+642)*100000</f>
        <v>76.834421820975805</v>
      </c>
      <c r="O61" s="103">
        <f>1/3762*100000</f>
        <v>26.581605528973952</v>
      </c>
      <c r="P61" s="619" t="s">
        <v>289</v>
      </c>
      <c r="Q61" s="620"/>
      <c r="R61" s="442">
        <f>1/4436*100000</f>
        <v>22.54283137962128</v>
      </c>
      <c r="S61" s="619" t="s">
        <v>279</v>
      </c>
      <c r="T61" s="620"/>
      <c r="U61" s="441">
        <v>0</v>
      </c>
      <c r="V61" s="441">
        <v>0</v>
      </c>
      <c r="W61" s="396">
        <f>1/5121*100000</f>
        <v>19.527436047646944</v>
      </c>
      <c r="X61" s="441">
        <v>0</v>
      </c>
      <c r="Y61" s="396">
        <f>2/769*100000</f>
        <v>260.0780234070221</v>
      </c>
      <c r="Z61" s="396">
        <f>3/(4436+685+769)*100000</f>
        <v>50.933786078098471</v>
      </c>
      <c r="AA61" s="441">
        <v>0</v>
      </c>
      <c r="AB61" s="20">
        <v>0</v>
      </c>
      <c r="AC61" s="396">
        <f>3/(4436+685+769+794)*100000</f>
        <v>44.88330341113106</v>
      </c>
      <c r="AD61" s="103">
        <f>1/785*100000</f>
        <v>127.38853503184713</v>
      </c>
      <c r="AE61" s="443">
        <f>1/953*100000</f>
        <v>104.93179433368311</v>
      </c>
      <c r="AF61" s="444">
        <f>4/(4436+685+769+794+953)*100000</f>
        <v>52.376587665313608</v>
      </c>
      <c r="AG61" s="445">
        <f>1/940*100000</f>
        <v>106.38297872340426</v>
      </c>
      <c r="AH61" s="611" t="s">
        <v>267</v>
      </c>
      <c r="AI61" s="612"/>
      <c r="AJ61" s="58"/>
      <c r="AK61" s="58"/>
      <c r="AL61" s="58"/>
      <c r="AM61" s="36"/>
    </row>
    <row r="62" spans="1:39" ht="29.25" customHeight="1" x14ac:dyDescent="0.2">
      <c r="A62" s="79">
        <v>6</v>
      </c>
      <c r="B62" s="152" t="s">
        <v>127</v>
      </c>
      <c r="C62" s="79" t="s">
        <v>77</v>
      </c>
      <c r="D62" s="431">
        <f>761/9684*100</f>
        <v>7.8583230070218919</v>
      </c>
      <c r="E62" s="132">
        <f>761/9661*100</f>
        <v>7.8770313632129181</v>
      </c>
      <c r="F62" s="448">
        <f>1522/9684*100</f>
        <v>15.716646014043784</v>
      </c>
      <c r="G62" s="448">
        <f>761/9661*100</f>
        <v>7.8770313632129181</v>
      </c>
      <c r="H62" s="448">
        <f>(761+761)/9661*100</f>
        <v>15.754062726425836</v>
      </c>
      <c r="I62" s="431">
        <f>(702+822+826)/9982*100</f>
        <v>23.542376277299137</v>
      </c>
      <c r="J62" s="448">
        <f>760/9661*100</f>
        <v>7.8666804678604692</v>
      </c>
      <c r="K62" s="448">
        <f>(761+761+760)/9661*100</f>
        <v>23.620743194286305</v>
      </c>
      <c r="L62" s="431">
        <f>(702+822+826)/9982*100</f>
        <v>23.542376277299137</v>
      </c>
      <c r="M62" s="144">
        <f>650/9661*100</f>
        <v>6.7280819790911908</v>
      </c>
      <c r="N62" s="448">
        <f>(761+761+760+650)/9661*100</f>
        <v>30.348825173377499</v>
      </c>
      <c r="O62" s="431">
        <f>(702+822+826+1568)/9982*100</f>
        <v>39.250651172109798</v>
      </c>
      <c r="P62" s="96">
        <f>870/9661*100</f>
        <v>9.0052789566297484</v>
      </c>
      <c r="Q62" s="448">
        <f>(761+761+760+650+870)/9661*100</f>
        <v>39.354104130007244</v>
      </c>
      <c r="R62" s="518">
        <v>6.6720096173111605</v>
      </c>
      <c r="S62" s="518">
        <f>760/9661*100</f>
        <v>7.8666804678604692</v>
      </c>
      <c r="T62" s="448">
        <f>(761+761+760+650+870+760)/9661*100</f>
        <v>47.220784597867713</v>
      </c>
      <c r="U62" s="366">
        <f>407/9605*100</f>
        <v>4.237376366475794</v>
      </c>
      <c r="V62" s="367">
        <f>778/9982*100</f>
        <v>7.794029252654779</v>
      </c>
      <c r="W62" s="362">
        <f>(702+822+826+0+1568+784+778)/9982*100</f>
        <v>54.8988178721699</v>
      </c>
      <c r="X62" s="372">
        <f>1011/9605*100</f>
        <v>10.525767829255596</v>
      </c>
      <c r="Y62" s="372">
        <f>559/9982*100</f>
        <v>5.6000801442596675</v>
      </c>
      <c r="Z62" s="362">
        <f>(702+822+826+0+1568+784+778+559)/9982*100</f>
        <v>60.498898016429571</v>
      </c>
      <c r="AA62" s="388">
        <f>1207/9605*100</f>
        <v>12.56637168141593</v>
      </c>
      <c r="AB62" s="396">
        <f>728/9982*100</f>
        <v>7.2931276297335206</v>
      </c>
      <c r="AC62" s="397">
        <f>(702+822+826+0+1568+784+778+559+728)/9982*100</f>
        <v>67.792025646163097</v>
      </c>
      <c r="AD62" s="388">
        <f>1026/9605*100</f>
        <v>10.681936491410724</v>
      </c>
      <c r="AE62" s="360">
        <f>771/9610*100</f>
        <v>8.0228928199791874</v>
      </c>
      <c r="AF62" s="397">
        <f>(702+822+826+0+1568+784+778+559+728+771)/9610*100</f>
        <v>78.439125910509887</v>
      </c>
      <c r="AG62" s="404">
        <f>1177/9605*100</f>
        <v>12.254034357105674</v>
      </c>
      <c r="AH62" s="405">
        <f>686/9610*100</f>
        <v>7.1383975026014568</v>
      </c>
      <c r="AI62" s="406">
        <f>8298/9610*100</f>
        <v>86.347554630593137</v>
      </c>
      <c r="AJ62" s="58"/>
      <c r="AK62" s="58"/>
      <c r="AL62" s="58"/>
      <c r="AM62" s="36"/>
    </row>
    <row r="63" spans="1:39" ht="17.25" customHeight="1" x14ac:dyDescent="0.2">
      <c r="A63" s="79">
        <v>7</v>
      </c>
      <c r="B63" s="152" t="s">
        <v>128</v>
      </c>
      <c r="C63" s="79" t="s">
        <v>77</v>
      </c>
      <c r="D63" s="131">
        <f>291/800*100</f>
        <v>36.375</v>
      </c>
      <c r="E63" s="131">
        <f>420/620*100</f>
        <v>67.741935483870961</v>
      </c>
      <c r="F63" s="432">
        <v>65.709999999999994</v>
      </c>
      <c r="G63" s="432">
        <f>420/620*100</f>
        <v>67.741935483870961</v>
      </c>
      <c r="H63" s="454">
        <f>840/1240*100</f>
        <v>67.741935483870961</v>
      </c>
      <c r="I63" s="133">
        <f>((655+603+550)/(868+800+700))*100</f>
        <v>76.351351351351354</v>
      </c>
      <c r="J63" s="133">
        <f>420/620*100</f>
        <v>67.741935483870961</v>
      </c>
      <c r="K63" s="454">
        <f>(840+420)/(1240+620)*100</f>
        <v>67.741935483870961</v>
      </c>
      <c r="L63" s="138">
        <f>((655+603+550+550)/(868+800+700+759))*100</f>
        <v>75.407739047009912</v>
      </c>
      <c r="M63" s="138">
        <f>420/620*100</f>
        <v>67.741935483870961</v>
      </c>
      <c r="N63" s="454">
        <f>(840+420+420)/(1240+620+620)*100</f>
        <v>67.741935483870961</v>
      </c>
      <c r="O63" s="138">
        <f>((655+603+550+550+673)/(868+800+700+759+734))*100</f>
        <v>78.502978502978507</v>
      </c>
      <c r="P63" s="96">
        <f>445/620*100</f>
        <v>71.774193548387103</v>
      </c>
      <c r="Q63" s="454">
        <f>(840+420+420+445)/(1240+620+620+620)*100</f>
        <v>68.548387096774192</v>
      </c>
      <c r="R63" s="520">
        <f>440/639*100</f>
        <v>68.85758998435054</v>
      </c>
      <c r="S63" s="521">
        <f>475/620*100</f>
        <v>76.612903225806448</v>
      </c>
      <c r="T63" s="454">
        <f>(840+420+420+445+475)/(1240+620+620+620+620)*100</f>
        <v>69.892473118279568</v>
      </c>
      <c r="U63" s="143">
        <f>475/724*100</f>
        <v>65.607734806629836</v>
      </c>
      <c r="V63" s="143">
        <f>491/662*100</f>
        <v>74.169184290030216</v>
      </c>
      <c r="W63" s="143">
        <f>((655+603+550+550+673+485+491)/(868+800+700+759+734+684+662))*100</f>
        <v>76.954100249663909</v>
      </c>
      <c r="X63" s="371">
        <f>529/833*100</f>
        <v>63.505402160864342</v>
      </c>
      <c r="Y63" s="371">
        <f>487/657*100</f>
        <v>74.1248097412481</v>
      </c>
      <c r="Z63" s="371">
        <f>((655+603+550+550+673+485+491+487)/(868+800+700+759+734+684+662+657))*100</f>
        <v>76.637107776261942</v>
      </c>
      <c r="AA63" s="387">
        <f>529/833*100</f>
        <v>63.505402160864342</v>
      </c>
      <c r="AB63" s="387">
        <f>440/620*100</f>
        <v>70.967741935483872</v>
      </c>
      <c r="AC63" s="371">
        <f>((655+603+550+550+673+485+491+487+440)/(868+800+700+759+734+684+662+657+620))*100</f>
        <v>76.095003084515739</v>
      </c>
      <c r="AD63" s="387">
        <f>571/811*100</f>
        <v>70.406905055487059</v>
      </c>
      <c r="AE63" s="387">
        <f>633/910*100</f>
        <v>69.560439560439562</v>
      </c>
      <c r="AF63" s="371">
        <f>((655+603+550+550+673+485+491+487+440+633)/(868+800+700+759+734+684+662+657+620+910))*100</f>
        <v>75.290776305112246</v>
      </c>
      <c r="AG63" s="407">
        <f>634/959*100</f>
        <v>66.110531803962459</v>
      </c>
      <c r="AH63" s="387">
        <f>674/971*100</f>
        <v>69.412976313079298</v>
      </c>
      <c r="AI63" s="387">
        <f>((655+603+550+550+673+485+491+478+440+633+674)/(868+800+700+759+734+684+622+657+620+910+971))*100</f>
        <v>74.858858858858852</v>
      </c>
      <c r="AJ63" s="58"/>
      <c r="AK63" s="58"/>
      <c r="AL63" s="58"/>
      <c r="AM63" s="36"/>
    </row>
    <row r="64" spans="1:39" ht="19.5" customHeight="1" x14ac:dyDescent="0.2">
      <c r="A64" s="79">
        <v>8</v>
      </c>
      <c r="B64" s="152" t="s">
        <v>129</v>
      </c>
      <c r="C64" s="79" t="s">
        <v>77</v>
      </c>
      <c r="D64" s="131">
        <f>565/800*100</f>
        <v>70.625</v>
      </c>
      <c r="E64" s="131">
        <f>448/620*100</f>
        <v>72.258064516129025</v>
      </c>
      <c r="F64" s="432">
        <f>485/700*100</f>
        <v>69.285714285714278</v>
      </c>
      <c r="G64" s="432">
        <f>448/620*100</f>
        <v>72.258064516129025</v>
      </c>
      <c r="H64" s="432">
        <f>896/1240*100</f>
        <v>72.258064516129025</v>
      </c>
      <c r="I64" s="133">
        <f>((731+562+650)/(868+800+700))*100</f>
        <v>82.05236486486487</v>
      </c>
      <c r="J64" s="133">
        <f>448/620*100</f>
        <v>72.258064516129025</v>
      </c>
      <c r="K64" s="432">
        <f>(896+448)/(1240+620)*100</f>
        <v>72.258064516129025</v>
      </c>
      <c r="L64" s="138">
        <f>((731+562+584)/(868+800+700+759))*100</f>
        <v>60.025583626479047</v>
      </c>
      <c r="M64" s="138">
        <f>448/620*100</f>
        <v>72.258064516129025</v>
      </c>
      <c r="N64" s="432">
        <f>(896+448+448)/(1240+620+620)*100</f>
        <v>72.258064516129025</v>
      </c>
      <c r="O64" s="138">
        <f>((731+562+584+650+592)/(868+800+700+759+734))*100</f>
        <v>80.782180782180774</v>
      </c>
      <c r="P64" s="96">
        <f>488/620*100</f>
        <v>78.709677419354847</v>
      </c>
      <c r="Q64" s="432">
        <f>(896+448+448+488)/(1240+620+620+620)*100</f>
        <v>73.548387096774192</v>
      </c>
      <c r="R64" s="520">
        <f>489/639*100</f>
        <v>76.525821596244143</v>
      </c>
      <c r="S64" s="521">
        <f>500/620*100</f>
        <v>80.645161290322577</v>
      </c>
      <c r="T64" s="432">
        <f>(896+448+448+488+500)/(1240+620+620+620+620)*100</f>
        <v>74.731182795698928</v>
      </c>
      <c r="U64" s="143">
        <f>571/724*100</f>
        <v>78.867403314917127</v>
      </c>
      <c r="V64" s="143">
        <f>520/662*100</f>
        <v>78.549848942598189</v>
      </c>
      <c r="W64" s="143">
        <f>((731+562+584+650+592+530+520)/(868+800+700+759+734+684+662))*100</f>
        <v>80.065296715959292</v>
      </c>
      <c r="X64" s="371">
        <f>656/833*100</f>
        <v>78.751500600240092</v>
      </c>
      <c r="Y64" s="371">
        <f>516/657*100</f>
        <v>78.538812785388117</v>
      </c>
      <c r="Z64" s="371">
        <f>((731+562+584+650+592+630+520+516)/(868+800+700+759+734+684+622+657))*100</f>
        <v>82.160027472527474</v>
      </c>
      <c r="AA64" s="387">
        <v>72.400000000000006</v>
      </c>
      <c r="AB64" s="387">
        <f>492/620*100</f>
        <v>79.354838709677423</v>
      </c>
      <c r="AC64" s="371">
        <f>((731+562+584+650+592+630+520+516+492)/(868+800+700+759+734+684+622+657+620))*100</f>
        <v>81.890130353817497</v>
      </c>
      <c r="AD64" s="387">
        <f>640/811*100</f>
        <v>78.914919852034529</v>
      </c>
      <c r="AE64" s="387">
        <f>730/910*100</f>
        <v>80.219780219780219</v>
      </c>
      <c r="AF64" s="371">
        <f>((731+562+584+650+592+630+520+516+492+734)/(868+800+700+759+734+684+622+657+620+910))*100</f>
        <v>81.737829752515637</v>
      </c>
      <c r="AG64" s="407">
        <f>769/959*100</f>
        <v>80.187695516162677</v>
      </c>
      <c r="AH64" s="387">
        <f>749/971*100</f>
        <v>77.136972193614824</v>
      </c>
      <c r="AI64" s="387">
        <f>((731+562+584+650+592+630+520+516+492+730+749)/(868+800+700+759+734+684+622+657+620+910+971))*100</f>
        <v>81.153153153153156</v>
      </c>
      <c r="AJ64" s="58"/>
      <c r="AK64" s="58"/>
      <c r="AL64" s="58"/>
      <c r="AM64" s="36"/>
    </row>
    <row r="65" spans="1:40" ht="19.5" customHeight="1" x14ac:dyDescent="0.2">
      <c r="A65" s="79">
        <v>9</v>
      </c>
      <c r="B65" s="152" t="s">
        <v>130</v>
      </c>
      <c r="C65" s="79"/>
      <c r="D65" s="414"/>
      <c r="E65" s="63"/>
      <c r="F65" s="451"/>
      <c r="G65" s="63"/>
      <c r="H65" s="63"/>
      <c r="I65" s="458"/>
      <c r="J65" s="63"/>
      <c r="K65" s="458"/>
      <c r="L65" s="462"/>
      <c r="M65" s="114"/>
      <c r="N65" s="463"/>
      <c r="O65" s="465"/>
      <c r="P65" s="58"/>
      <c r="Q65" s="58"/>
      <c r="R65" s="519"/>
      <c r="S65" s="519"/>
      <c r="T65" s="519"/>
      <c r="U65" s="142"/>
      <c r="V65" s="142"/>
      <c r="W65" s="142"/>
      <c r="X65" s="369"/>
      <c r="Y65" s="369"/>
      <c r="Z65" s="369"/>
      <c r="AA65" s="369"/>
      <c r="AB65" s="369"/>
      <c r="AC65" s="369"/>
      <c r="AD65" s="58"/>
      <c r="AE65" s="58"/>
      <c r="AF65" s="58"/>
      <c r="AG65" s="58"/>
      <c r="AH65" s="58"/>
      <c r="AI65" s="58"/>
      <c r="AJ65" s="58"/>
      <c r="AK65" s="58"/>
      <c r="AL65" s="58"/>
      <c r="AM65" s="36"/>
    </row>
    <row r="66" spans="1:40" ht="18" customHeight="1" x14ac:dyDescent="0.2">
      <c r="A66" s="87"/>
      <c r="B66" s="159" t="s">
        <v>131</v>
      </c>
      <c r="C66" s="87" t="s">
        <v>79</v>
      </c>
      <c r="D66" s="416">
        <v>0</v>
      </c>
      <c r="E66" s="96">
        <f>1/E11*1000</f>
        <v>2.0641752071915865E-3</v>
      </c>
      <c r="F66" s="450">
        <v>0</v>
      </c>
      <c r="G66" s="96">
        <f>3/G11*1000</f>
        <v>6.1925256215747595E-3</v>
      </c>
      <c r="H66" s="96">
        <f>4/H11*1000</f>
        <v>8.256700828766346E-3</v>
      </c>
      <c r="I66" s="96">
        <f>20/I11*1000</f>
        <v>4.2634650886161217E-2</v>
      </c>
      <c r="J66" s="96">
        <f>0/J11*1000</f>
        <v>0</v>
      </c>
      <c r="K66" s="96">
        <f>4/K11*1000</f>
        <v>8.256700828766346E-3</v>
      </c>
      <c r="L66" s="140">
        <f>30/469102*1000</f>
        <v>6.3951976329241836E-2</v>
      </c>
      <c r="M66" s="464">
        <f>21/M11*1000</f>
        <v>4.3347679351023315E-2</v>
      </c>
      <c r="N66" s="96">
        <f>(4+21)/N11*1000</f>
        <v>5.1604380179789661E-2</v>
      </c>
      <c r="O66" s="96">
        <f>30/O11*1000</f>
        <v>6.3951976329241836E-2</v>
      </c>
      <c r="P66" s="96">
        <f>7/P11*1000</f>
        <v>1.4449226450341105E-2</v>
      </c>
      <c r="Q66" s="96">
        <f>(4+21+7)/Q11*1000</f>
        <v>6.6053606630130768E-2</v>
      </c>
      <c r="R66" s="517">
        <v>2.7371878553080389E-2</v>
      </c>
      <c r="S66" s="515">
        <f>14/S11*1000</f>
        <v>2.8893860467420106E-2</v>
      </c>
      <c r="T66" s="474">
        <f>(4+21+7+14)/T11*1000</f>
        <v>9.4936970107237506E-2</v>
      </c>
      <c r="U66" s="96">
        <f>26/U11*1000</f>
        <v>5.620054082212745E-2</v>
      </c>
      <c r="V66" s="96">
        <f>9/V11*1000</f>
        <v>1.9185592898772547E-2</v>
      </c>
      <c r="W66" s="96">
        <f>42/W11*1000</f>
        <v>8.9532766860938556E-2</v>
      </c>
      <c r="X66" s="97">
        <f>14/X11*1000</f>
        <v>3.0261829673453242E-2</v>
      </c>
      <c r="Y66" s="97">
        <f>8/Y11*1000</f>
        <v>1.7053860354464486E-2</v>
      </c>
      <c r="Z66" s="97">
        <f>50/Z11*1000</f>
        <v>0.10658662721540305</v>
      </c>
      <c r="AA66" s="393">
        <f>3/AA11*1000</f>
        <v>6.484677787168552E-3</v>
      </c>
      <c r="AB66" s="97">
        <f>3/AB11*1000</f>
        <v>6.3951976329241827E-3</v>
      </c>
      <c r="AC66" s="97">
        <f>53/AC11*1000</f>
        <v>0.11298182484832724</v>
      </c>
      <c r="AD66" s="96">
        <f>9/AD11*1000</f>
        <v>1.9454033361505658E-2</v>
      </c>
      <c r="AE66" s="96">
        <f>4/AE11*1000</f>
        <v>8.526930177232243E-3</v>
      </c>
      <c r="AF66" s="96">
        <f>57/AF11*1000</f>
        <v>0.12150875502555948</v>
      </c>
      <c r="AG66" s="408">
        <f>9/AG11*1000</f>
        <v>1.9454033361505658E-2</v>
      </c>
      <c r="AH66" s="408">
        <f>12/AH11*1000</f>
        <v>2.5580790531696731E-2</v>
      </c>
      <c r="AI66" s="408">
        <f>69/AI11*1000</f>
        <v>0.1470895455572562</v>
      </c>
      <c r="AJ66" s="58"/>
      <c r="AK66" s="58"/>
      <c r="AL66" s="58"/>
      <c r="AM66" s="36"/>
    </row>
    <row r="67" spans="1:40" ht="18.75" customHeight="1" x14ac:dyDescent="0.2">
      <c r="A67" s="80"/>
      <c r="B67" s="105" t="s">
        <v>132</v>
      </c>
      <c r="C67" s="147" t="s">
        <v>133</v>
      </c>
      <c r="D67" s="96">
        <f>5/D11*100000</f>
        <v>1.0471971767564114</v>
      </c>
      <c r="E67" s="96">
        <f>7/E11*100000</f>
        <v>1.4449226450341106</v>
      </c>
      <c r="F67" s="430">
        <f>(5+12)/F11*100000</f>
        <v>3.5618131724231854</v>
      </c>
      <c r="G67" s="109">
        <f>21/G11*100000</f>
        <v>4.3347679351023318</v>
      </c>
      <c r="H67" s="430">
        <f>28/H11*100000</f>
        <v>5.7796905801364424</v>
      </c>
      <c r="I67" s="430">
        <f>21/I11*100000</f>
        <v>4.4766383430469281</v>
      </c>
      <c r="J67" s="430">
        <f>3/J11*100000</f>
        <v>0.61925256215747593</v>
      </c>
      <c r="K67" s="430">
        <f>31/K11*100000</f>
        <v>6.3989431422939171</v>
      </c>
      <c r="L67" s="430">
        <f t="shared" ref="L67" si="91">21/L11*1000</f>
        <v>4.4766383430469278E-2</v>
      </c>
      <c r="M67" s="430">
        <f>14/M11*100000</f>
        <v>2.8898452900682212</v>
      </c>
      <c r="N67" s="430">
        <f>(31+14)/N11*100000</f>
        <v>9.2887884323621392</v>
      </c>
      <c r="O67" s="430">
        <f t="shared" ref="O67" si="92">21/O11*1000</f>
        <v>4.4766383430469278E-2</v>
      </c>
      <c r="P67" s="461">
        <f>24/P11*100000</f>
        <v>4.9540204972598074</v>
      </c>
      <c r="Q67" s="430">
        <f>(31+14+24)/Q11*100000</f>
        <v>14.242808929621946</v>
      </c>
      <c r="R67" s="394">
        <v>3.158293679201583</v>
      </c>
      <c r="S67" s="430">
        <f>28/S11*100000</f>
        <v>5.7787720934840214</v>
      </c>
      <c r="T67" s="430">
        <f>(31+14+24+28)/T11*100000</f>
        <v>20.019317609569647</v>
      </c>
      <c r="U67" s="430">
        <f t="shared" ref="U67:AM67" si="93">21/U11*1000</f>
        <v>4.5392744510179862E-2</v>
      </c>
      <c r="V67" s="430">
        <f t="shared" si="93"/>
        <v>4.4766383430469278E-2</v>
      </c>
      <c r="W67" s="430">
        <f t="shared" si="93"/>
        <v>4.4766383430469278E-2</v>
      </c>
      <c r="X67" s="430">
        <f t="shared" si="93"/>
        <v>4.5392744510179862E-2</v>
      </c>
      <c r="Y67" s="430">
        <f t="shared" si="93"/>
        <v>4.4766383430469278E-2</v>
      </c>
      <c r="Z67" s="430">
        <f t="shared" si="93"/>
        <v>4.4766383430469278E-2</v>
      </c>
      <c r="AA67" s="430">
        <f t="shared" si="93"/>
        <v>4.5392744510179862E-2</v>
      </c>
      <c r="AB67" s="430">
        <f t="shared" si="93"/>
        <v>4.4766383430469278E-2</v>
      </c>
      <c r="AC67" s="430">
        <f t="shared" si="93"/>
        <v>4.4766383430469278E-2</v>
      </c>
      <c r="AD67" s="430">
        <f t="shared" si="93"/>
        <v>4.5392744510179862E-2</v>
      </c>
      <c r="AE67" s="430">
        <f t="shared" si="93"/>
        <v>4.4766383430469278E-2</v>
      </c>
      <c r="AF67" s="430">
        <f t="shared" si="93"/>
        <v>4.4766383430469278E-2</v>
      </c>
      <c r="AG67" s="430">
        <f t="shared" si="93"/>
        <v>4.5392744510179862E-2</v>
      </c>
      <c r="AH67" s="430">
        <f t="shared" si="93"/>
        <v>4.4766383430469278E-2</v>
      </c>
      <c r="AI67" s="430">
        <f t="shared" si="93"/>
        <v>4.4766383430469278E-2</v>
      </c>
      <c r="AJ67" s="430" t="e">
        <f t="shared" si="93"/>
        <v>#DIV/0!</v>
      </c>
      <c r="AK67" s="430" t="e">
        <f t="shared" si="93"/>
        <v>#DIV/0!</v>
      </c>
      <c r="AL67" s="430" t="e">
        <f t="shared" si="93"/>
        <v>#DIV/0!</v>
      </c>
      <c r="AM67" s="430" t="e">
        <f t="shared" si="93"/>
        <v>#DIV/0!</v>
      </c>
      <c r="AN67" s="17"/>
    </row>
    <row r="68" spans="1:40" ht="18.75" customHeight="1" x14ac:dyDescent="0.2">
      <c r="A68" s="80"/>
      <c r="B68" s="105" t="s">
        <v>134</v>
      </c>
      <c r="C68" s="80" t="s">
        <v>77</v>
      </c>
      <c r="D68" s="416">
        <v>0.39</v>
      </c>
      <c r="E68" s="96">
        <f>1754/E11*100</f>
        <v>0.36205633134140425</v>
      </c>
      <c r="F68" s="96">
        <f>1812/F11*100</f>
        <v>0.37964738049593011</v>
      </c>
      <c r="G68" s="96">
        <f>1754/G11*100</f>
        <v>0.36205633134140425</v>
      </c>
      <c r="H68" s="96">
        <f>1754/H11*100</f>
        <v>0.36205633134140425</v>
      </c>
      <c r="I68" s="96">
        <f>1787/I11*100</f>
        <v>0.38094060566785048</v>
      </c>
      <c r="J68" s="96">
        <f>1742/J11*100</f>
        <v>0.35957932109277435</v>
      </c>
      <c r="K68" s="96">
        <f>1742/K11*100</f>
        <v>0.35957932109277435</v>
      </c>
      <c r="L68" s="139">
        <f>1790/469102*100</f>
        <v>0.38158012543114289</v>
      </c>
      <c r="M68" s="139">
        <f>1742/M11*100</f>
        <v>0.35957932109277435</v>
      </c>
      <c r="N68" s="139">
        <f>1742/N11*100</f>
        <v>0.35957932109277435</v>
      </c>
      <c r="O68" s="96">
        <f>1783/O11*100</f>
        <v>0.38008791265012726</v>
      </c>
      <c r="P68" s="96">
        <f>1740/P11*100</f>
        <v>0.35916648605133605</v>
      </c>
      <c r="Q68" s="96">
        <f>1740/Q11*100</f>
        <v>0.35916648605133605</v>
      </c>
      <c r="R68" s="516">
        <f>1822/R13*100</f>
        <v>2.1648982307719731</v>
      </c>
      <c r="S68" s="139">
        <f>1731/S11*100</f>
        <v>0.35725194620788719</v>
      </c>
      <c r="T68" s="139">
        <f>1731/T11*100</f>
        <v>0.35725194620788719</v>
      </c>
      <c r="U68" s="96">
        <f>1781/U11*100</f>
        <v>0.38497370463157299</v>
      </c>
      <c r="V68" s="96">
        <f>1802/V11*100</f>
        <v>0.38413820448431257</v>
      </c>
      <c r="W68" s="96">
        <f>1802/W11*100</f>
        <v>0.38413820448431257</v>
      </c>
      <c r="X68" s="96">
        <f>1781/X11*100</f>
        <v>0.38497370463157299</v>
      </c>
      <c r="Y68" s="96">
        <f>1812/Y11*100</f>
        <v>0.38626993702862067</v>
      </c>
      <c r="Z68" s="96">
        <f>1812/Z11*100</f>
        <v>0.38626993702862067</v>
      </c>
      <c r="AA68" s="96">
        <f>1784/AA11*100</f>
        <v>0.38562217241028984</v>
      </c>
      <c r="AB68" s="96">
        <f>1816/AB11*100</f>
        <v>0.38712263004634384</v>
      </c>
      <c r="AC68" s="96">
        <f>1816/AC11*100</f>
        <v>0.38712263004634384</v>
      </c>
      <c r="AD68" s="96">
        <f>1798/AD11*100</f>
        <v>0.3886483553776352</v>
      </c>
      <c r="AE68" s="96">
        <f>1807/AE11*100</f>
        <v>0.38520407075646662</v>
      </c>
      <c r="AF68" s="96">
        <f>1807/AF11*100</f>
        <v>0.38520407075646662</v>
      </c>
      <c r="AG68" s="96">
        <f>1783/AG11*100</f>
        <v>0.38540601648405093</v>
      </c>
      <c r="AH68" s="96">
        <f>1818/AH11*100</f>
        <v>0.38754897655520548</v>
      </c>
      <c r="AI68" s="96">
        <f>1818/AI11*100</f>
        <v>0.38754897655520548</v>
      </c>
      <c r="AJ68" s="58"/>
      <c r="AK68" s="58"/>
      <c r="AL68" s="58"/>
      <c r="AM68" s="36"/>
    </row>
    <row r="69" spans="1:40" ht="20.25" customHeight="1" x14ac:dyDescent="0.2">
      <c r="A69" s="79">
        <v>10</v>
      </c>
      <c r="B69" s="152" t="s">
        <v>135</v>
      </c>
      <c r="C69" s="66" t="s">
        <v>77</v>
      </c>
      <c r="D69" s="416"/>
      <c r="E69" s="58"/>
      <c r="F69" s="58"/>
      <c r="G69" s="58"/>
      <c r="H69" s="58"/>
      <c r="I69" s="457">
        <v>94</v>
      </c>
      <c r="J69" s="58"/>
      <c r="K69" s="457"/>
      <c r="L69" s="63"/>
      <c r="M69" s="63"/>
      <c r="N69" s="462"/>
      <c r="O69" s="58"/>
      <c r="P69" s="58"/>
      <c r="Q69" s="58"/>
      <c r="R69" s="474"/>
      <c r="S69" s="58"/>
      <c r="T69" s="96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36"/>
    </row>
    <row r="70" spans="1:40" s="353" customFormat="1" ht="27.75" customHeight="1" x14ac:dyDescent="0.25">
      <c r="A70" s="420">
        <v>11</v>
      </c>
      <c r="B70" s="418" t="s">
        <v>270</v>
      </c>
      <c r="C70" s="421" t="s">
        <v>77</v>
      </c>
      <c r="D70" s="625" t="s">
        <v>277</v>
      </c>
      <c r="E70" s="626"/>
      <c r="F70" s="626"/>
      <c r="G70" s="626"/>
      <c r="H70" s="626"/>
      <c r="I70" s="626"/>
      <c r="J70" s="626"/>
      <c r="K70" s="626"/>
      <c r="L70" s="626"/>
      <c r="M70" s="626"/>
      <c r="N70" s="626"/>
      <c r="O70" s="626"/>
      <c r="P70" s="626"/>
      <c r="Q70" s="626"/>
      <c r="R70" s="626"/>
      <c r="S70" s="626"/>
      <c r="T70" s="627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  <c r="AF70" s="413"/>
      <c r="AG70" s="413"/>
      <c r="AH70" s="419"/>
      <c r="AI70" s="419"/>
      <c r="AJ70" s="71"/>
      <c r="AK70" s="71"/>
      <c r="AL70" s="71"/>
      <c r="AM70" s="71"/>
    </row>
    <row r="71" spans="1:40" s="353" customFormat="1" ht="28.5" customHeight="1" x14ac:dyDescent="0.25">
      <c r="A71" s="420">
        <v>12</v>
      </c>
      <c r="B71" s="418" t="s">
        <v>271</v>
      </c>
      <c r="C71" s="421" t="s">
        <v>77</v>
      </c>
      <c r="D71" s="625" t="s">
        <v>276</v>
      </c>
      <c r="E71" s="626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626"/>
      <c r="S71" s="626"/>
      <c r="T71" s="627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9"/>
      <c r="AI71" s="419"/>
      <c r="AJ71" s="71"/>
      <c r="AK71" s="71"/>
      <c r="AL71" s="71"/>
      <c r="AM71" s="71"/>
    </row>
    <row r="72" spans="1:40" s="1" customFormat="1" ht="28.5" customHeight="1" x14ac:dyDescent="0.2">
      <c r="A72" s="410">
        <v>13</v>
      </c>
      <c r="B72" s="160" t="s">
        <v>145</v>
      </c>
      <c r="C72" s="92" t="s">
        <v>146</v>
      </c>
      <c r="D72" s="411">
        <v>2172</v>
      </c>
      <c r="E72" s="411">
        <v>2150</v>
      </c>
      <c r="F72" s="411">
        <v>2280</v>
      </c>
      <c r="G72" s="411">
        <v>2150</v>
      </c>
      <c r="H72" s="411">
        <v>2150</v>
      </c>
      <c r="I72" s="411">
        <v>2258</v>
      </c>
      <c r="J72" s="411">
        <v>2180</v>
      </c>
      <c r="K72" s="411">
        <v>2180</v>
      </c>
      <c r="L72" s="412">
        <v>2270</v>
      </c>
      <c r="M72" s="412">
        <v>2180</v>
      </c>
      <c r="N72" s="412">
        <v>2180</v>
      </c>
      <c r="O72" s="412">
        <v>2245</v>
      </c>
      <c r="P72" s="412">
        <v>2150</v>
      </c>
      <c r="Q72" s="412">
        <v>2150</v>
      </c>
      <c r="R72" s="412">
        <v>2295</v>
      </c>
      <c r="S72" s="412">
        <v>2120</v>
      </c>
      <c r="T72" s="412">
        <v>2120</v>
      </c>
      <c r="U72" s="412">
        <v>2014</v>
      </c>
      <c r="V72" s="412">
        <v>2315</v>
      </c>
      <c r="W72" s="412">
        <v>2315</v>
      </c>
      <c r="X72" s="412">
        <v>2041</v>
      </c>
      <c r="Y72" s="412">
        <v>2283</v>
      </c>
      <c r="Z72" s="412">
        <v>2283</v>
      </c>
      <c r="AA72" s="412">
        <v>2150</v>
      </c>
      <c r="AB72" s="412">
        <v>2324</v>
      </c>
      <c r="AC72" s="412">
        <v>2324</v>
      </c>
      <c r="AD72" s="412">
        <v>2147</v>
      </c>
      <c r="AE72" s="412">
        <v>2284</v>
      </c>
      <c r="AF72" s="412">
        <v>2284</v>
      </c>
      <c r="AG72" s="412">
        <v>2147</v>
      </c>
      <c r="AH72" s="409">
        <v>2293</v>
      </c>
      <c r="AI72" s="409">
        <v>2293</v>
      </c>
      <c r="AJ72" s="410"/>
      <c r="AK72" s="410"/>
      <c r="AL72" s="410"/>
      <c r="AM72" s="410"/>
    </row>
  </sheetData>
  <mergeCells count="29">
    <mergeCell ref="A1:B1"/>
    <mergeCell ref="A5:A6"/>
    <mergeCell ref="B5:B6"/>
    <mergeCell ref="C5:C6"/>
    <mergeCell ref="A3:Q3"/>
    <mergeCell ref="A2:Q2"/>
    <mergeCell ref="D70:T70"/>
    <mergeCell ref="D71:T71"/>
    <mergeCell ref="B9:AM9"/>
    <mergeCell ref="D5:E5"/>
    <mergeCell ref="AJ5:AL5"/>
    <mergeCell ref="F5:H5"/>
    <mergeCell ref="I5:K5"/>
    <mergeCell ref="AA5:AC5"/>
    <mergeCell ref="AD5:AF5"/>
    <mergeCell ref="L5:N5"/>
    <mergeCell ref="O5:Q5"/>
    <mergeCell ref="R5:T5"/>
    <mergeCell ref="AM5:AM6"/>
    <mergeCell ref="AG5:AI5"/>
    <mergeCell ref="U5:W5"/>
    <mergeCell ref="X5:Z5"/>
    <mergeCell ref="AH57:AI58"/>
    <mergeCell ref="AH61:AI61"/>
    <mergeCell ref="D59:AI60"/>
    <mergeCell ref="P57:Q58"/>
    <mergeCell ref="P61:Q61"/>
    <mergeCell ref="S57:T58"/>
    <mergeCell ref="S61:T61"/>
  </mergeCells>
  <pageMargins left="0.35433070866141736" right="0.19685039370078741" top="0.39370078740157483" bottom="0.35433070866141736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pane ySplit="6" topLeftCell="A31" activePane="bottomLeft" state="frozen"/>
      <selection pane="bottomLeft" activeCell="Q30" sqref="Q30"/>
    </sheetView>
  </sheetViews>
  <sheetFormatPr defaultRowHeight="12.75" x14ac:dyDescent="0.2"/>
  <cols>
    <col min="1" max="1" width="4.5" style="7" customWidth="1"/>
    <col min="2" max="2" width="25.75" style="7" customWidth="1"/>
    <col min="3" max="3" width="9" style="7"/>
    <col min="4" max="4" width="9.875" style="48" bestFit="1" customWidth="1"/>
    <col min="5" max="5" width="9.375" style="49" customWidth="1"/>
    <col min="6" max="6" width="9.75" style="49" hidden="1" customWidth="1"/>
    <col min="7" max="7" width="10.5" style="49" bestFit="1" customWidth="1"/>
    <col min="8" max="8" width="9.875" style="49" bestFit="1" customWidth="1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 x14ac:dyDescent="0.25">
      <c r="A1" s="633" t="s">
        <v>8</v>
      </c>
      <c r="B1" s="633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customHeight="1" x14ac:dyDescent="0.25">
      <c r="A2" s="637" t="s">
        <v>157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4" ht="15.75" x14ac:dyDescent="0.25">
      <c r="A3" s="636" t="s">
        <v>286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1:14" ht="15.75" x14ac:dyDescent="0.25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4" ht="12.75" customHeight="1" x14ac:dyDescent="0.2">
      <c r="A5" s="652" t="s">
        <v>9</v>
      </c>
      <c r="B5" s="654" t="s">
        <v>10</v>
      </c>
      <c r="C5" s="654" t="s">
        <v>11</v>
      </c>
      <c r="D5" s="638" t="s">
        <v>260</v>
      </c>
      <c r="E5" s="656" t="s">
        <v>280</v>
      </c>
      <c r="F5" s="657"/>
      <c r="G5" s="657"/>
      <c r="H5" s="658"/>
      <c r="I5" s="656" t="s">
        <v>0</v>
      </c>
      <c r="J5" s="658"/>
      <c r="K5" s="659" t="s">
        <v>1</v>
      </c>
      <c r="L5" s="650" t="s">
        <v>2</v>
      </c>
    </row>
    <row r="6" spans="1:14" ht="94.5" customHeight="1" x14ac:dyDescent="0.2">
      <c r="A6" s="653"/>
      <c r="B6" s="655"/>
      <c r="C6" s="655"/>
      <c r="D6" s="639"/>
      <c r="E6" s="476" t="s">
        <v>3</v>
      </c>
      <c r="F6" s="476" t="s">
        <v>155</v>
      </c>
      <c r="G6" s="476" t="s">
        <v>290</v>
      </c>
      <c r="H6" s="476" t="s">
        <v>4</v>
      </c>
      <c r="I6" s="476" t="s">
        <v>23</v>
      </c>
      <c r="J6" s="476" t="s">
        <v>281</v>
      </c>
      <c r="K6" s="660"/>
      <c r="L6" s="651"/>
    </row>
    <row r="7" spans="1:14" x14ac:dyDescent="0.2">
      <c r="A7" s="9" t="s">
        <v>5</v>
      </c>
      <c r="B7" s="9" t="s">
        <v>6</v>
      </c>
      <c r="C7" s="9" t="s">
        <v>7</v>
      </c>
      <c r="D7" s="10">
        <v>1</v>
      </c>
      <c r="E7" s="10">
        <v>2</v>
      </c>
      <c r="F7" s="10">
        <v>4</v>
      </c>
      <c r="G7" s="10">
        <v>5</v>
      </c>
      <c r="H7" s="10">
        <v>6</v>
      </c>
      <c r="I7" s="11">
        <v>7</v>
      </c>
      <c r="J7" s="11">
        <v>8</v>
      </c>
      <c r="K7" s="9">
        <v>9</v>
      </c>
      <c r="L7" s="9">
        <v>10</v>
      </c>
    </row>
    <row r="8" spans="1:14" ht="13.5" x14ac:dyDescent="0.25">
      <c r="A8" s="12"/>
      <c r="B8" s="12"/>
      <c r="C8" s="12"/>
      <c r="D8" s="13"/>
      <c r="E8" s="13"/>
      <c r="F8" s="14"/>
      <c r="G8" s="14"/>
      <c r="H8" s="14"/>
      <c r="I8" s="15"/>
      <c r="J8" s="15"/>
      <c r="K8" s="16"/>
      <c r="L8" s="12"/>
      <c r="N8" s="17"/>
    </row>
    <row r="9" spans="1:14" x14ac:dyDescent="0.2">
      <c r="A9" s="18" t="s">
        <v>12</v>
      </c>
      <c r="B9" s="478" t="s">
        <v>16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</row>
    <row r="10" spans="1:14" x14ac:dyDescent="0.2">
      <c r="A10" s="469">
        <v>1</v>
      </c>
      <c r="B10" s="93" t="s">
        <v>63</v>
      </c>
      <c r="C10" s="19"/>
      <c r="D10" s="21"/>
      <c r="E10" s="22"/>
      <c r="F10" s="21"/>
      <c r="G10" s="21"/>
      <c r="H10" s="21"/>
      <c r="I10" s="23"/>
      <c r="J10" s="477"/>
      <c r="K10" s="25"/>
      <c r="L10" s="26"/>
    </row>
    <row r="11" spans="1:14" x14ac:dyDescent="0.2">
      <c r="A11" s="471"/>
      <c r="B11" s="65" t="s">
        <v>64</v>
      </c>
      <c r="C11" s="66" t="s">
        <v>76</v>
      </c>
      <c r="D11" s="107">
        <f t="shared" ref="D11" si="0">D13+D14</f>
        <v>478430</v>
      </c>
      <c r="E11" s="120">
        <f>E13+E14</f>
        <v>484455</v>
      </c>
      <c r="F11" s="120">
        <f>F13+F14</f>
        <v>484532</v>
      </c>
      <c r="G11" s="120">
        <f>G13+G14</f>
        <v>484532</v>
      </c>
      <c r="H11" s="120">
        <f>H13+H14</f>
        <v>484455</v>
      </c>
      <c r="I11" s="23"/>
      <c r="J11" s="477"/>
      <c r="K11" s="31"/>
      <c r="L11" s="32"/>
    </row>
    <row r="12" spans="1:14" x14ac:dyDescent="0.2">
      <c r="A12" s="471"/>
      <c r="B12" s="148" t="s">
        <v>65</v>
      </c>
      <c r="C12" s="66"/>
      <c r="D12" s="107"/>
      <c r="E12" s="30"/>
      <c r="F12" s="30"/>
      <c r="G12" s="30"/>
      <c r="H12" s="30"/>
      <c r="I12" s="23"/>
      <c r="J12" s="477"/>
      <c r="K12" s="31"/>
      <c r="L12" s="32"/>
    </row>
    <row r="13" spans="1:14" x14ac:dyDescent="0.2">
      <c r="A13" s="471"/>
      <c r="B13" s="148" t="s">
        <v>66</v>
      </c>
      <c r="C13" s="66" t="s">
        <v>76</v>
      </c>
      <c r="D13" s="107">
        <v>84661</v>
      </c>
      <c r="E13" s="120">
        <v>86155</v>
      </c>
      <c r="F13" s="120">
        <v>85617</v>
      </c>
      <c r="G13" s="120">
        <v>85617</v>
      </c>
      <c r="H13" s="120">
        <v>86155</v>
      </c>
      <c r="I13" s="23"/>
      <c r="J13" s="477"/>
      <c r="K13" s="31"/>
      <c r="L13" s="32"/>
    </row>
    <row r="14" spans="1:14" x14ac:dyDescent="0.2">
      <c r="A14" s="471"/>
      <c r="B14" s="148" t="s">
        <v>67</v>
      </c>
      <c r="C14" s="66" t="s">
        <v>76</v>
      </c>
      <c r="D14" s="107">
        <v>393769</v>
      </c>
      <c r="E14" s="120">
        <v>398300</v>
      </c>
      <c r="F14" s="120">
        <v>398915</v>
      </c>
      <c r="G14" s="120">
        <v>398915</v>
      </c>
      <c r="H14" s="120">
        <v>398300</v>
      </c>
      <c r="I14" s="23"/>
      <c r="J14" s="477"/>
      <c r="K14" s="33"/>
      <c r="L14" s="34"/>
    </row>
    <row r="15" spans="1:14" x14ac:dyDescent="0.2">
      <c r="A15" s="471"/>
      <c r="B15" s="417" t="s">
        <v>268</v>
      </c>
      <c r="C15" s="66" t="s">
        <v>282</v>
      </c>
      <c r="D15" s="107"/>
      <c r="E15" s="118">
        <v>67</v>
      </c>
      <c r="F15" s="118"/>
      <c r="G15" s="118"/>
      <c r="H15" s="118">
        <v>67</v>
      </c>
      <c r="I15" s="23"/>
      <c r="J15" s="477"/>
      <c r="K15" s="33"/>
      <c r="L15" s="34"/>
    </row>
    <row r="16" spans="1:14" x14ac:dyDescent="0.2">
      <c r="A16" s="471"/>
      <c r="B16" s="148" t="s">
        <v>68</v>
      </c>
      <c r="C16" s="66"/>
      <c r="D16" s="107">
        <v>400972</v>
      </c>
      <c r="E16" s="120">
        <v>407952</v>
      </c>
      <c r="F16" s="120"/>
      <c r="G16" s="120">
        <v>408103</v>
      </c>
      <c r="H16" s="120">
        <v>407952</v>
      </c>
      <c r="I16" s="23"/>
      <c r="J16" s="477"/>
      <c r="K16" s="33"/>
      <c r="L16" s="34"/>
    </row>
    <row r="17" spans="1:12" x14ac:dyDescent="0.2">
      <c r="A17" s="471"/>
      <c r="B17" s="148" t="s">
        <v>69</v>
      </c>
      <c r="C17" s="66" t="s">
        <v>77</v>
      </c>
      <c r="D17" s="422">
        <v>1.72</v>
      </c>
      <c r="E17" s="121">
        <v>1.46</v>
      </c>
      <c r="F17" s="29"/>
      <c r="G17" s="523">
        <v>0.7</v>
      </c>
      <c r="H17" s="121">
        <v>1.46</v>
      </c>
      <c r="I17" s="23"/>
      <c r="J17" s="477"/>
      <c r="K17" s="35"/>
      <c r="L17" s="36"/>
    </row>
    <row r="18" spans="1:12" x14ac:dyDescent="0.2">
      <c r="A18" s="471"/>
      <c r="B18" s="148" t="s">
        <v>70</v>
      </c>
      <c r="C18" s="66" t="s">
        <v>78</v>
      </c>
      <c r="D18" s="422">
        <v>1.61</v>
      </c>
      <c r="E18" s="121">
        <v>0.4</v>
      </c>
      <c r="F18" s="29"/>
      <c r="G18" s="523">
        <v>0.4</v>
      </c>
      <c r="H18" s="121">
        <v>0.4</v>
      </c>
      <c r="I18" s="23"/>
      <c r="J18" s="477"/>
      <c r="K18" s="31"/>
      <c r="L18" s="32"/>
    </row>
    <row r="19" spans="1:12" x14ac:dyDescent="0.2">
      <c r="A19" s="471"/>
      <c r="B19" s="148" t="s">
        <v>71</v>
      </c>
      <c r="C19" s="66" t="s">
        <v>79</v>
      </c>
      <c r="D19" s="422">
        <v>13.6</v>
      </c>
      <c r="E19" s="121">
        <v>14.11</v>
      </c>
      <c r="F19" s="30"/>
      <c r="G19" s="523">
        <v>7</v>
      </c>
      <c r="H19" s="121">
        <v>14.11</v>
      </c>
      <c r="I19" s="23"/>
      <c r="J19" s="477"/>
      <c r="K19" s="35"/>
      <c r="L19" s="36"/>
    </row>
    <row r="20" spans="1:12" ht="22.5" x14ac:dyDescent="0.2">
      <c r="A20" s="471"/>
      <c r="B20" s="148" t="s">
        <v>72</v>
      </c>
      <c r="C20" s="66" t="s">
        <v>77</v>
      </c>
      <c r="D20" s="472">
        <v>108.5</v>
      </c>
      <c r="E20" s="122">
        <v>109</v>
      </c>
      <c r="F20" s="37"/>
      <c r="G20" s="356">
        <v>118.7</v>
      </c>
      <c r="H20" s="122">
        <v>109</v>
      </c>
      <c r="I20" s="23"/>
      <c r="J20" s="477"/>
      <c r="K20" s="38"/>
      <c r="L20" s="422"/>
    </row>
    <row r="21" spans="1:12" x14ac:dyDescent="0.2">
      <c r="A21" s="471">
        <v>2</v>
      </c>
      <c r="B21" s="149" t="s">
        <v>73</v>
      </c>
      <c r="C21" s="66"/>
      <c r="D21" s="472"/>
      <c r="E21" s="120"/>
      <c r="F21" s="30"/>
      <c r="G21" s="356"/>
      <c r="H21" s="120"/>
      <c r="I21" s="23"/>
      <c r="J21" s="477"/>
      <c r="K21" s="35"/>
      <c r="L21" s="36"/>
    </row>
    <row r="22" spans="1:12" ht="22.5" x14ac:dyDescent="0.2">
      <c r="A22" s="471"/>
      <c r="B22" s="148" t="s">
        <v>74</v>
      </c>
      <c r="C22" s="66" t="s">
        <v>77</v>
      </c>
      <c r="D22" s="472">
        <v>69.8</v>
      </c>
      <c r="E22" s="119">
        <v>70</v>
      </c>
      <c r="F22" s="30"/>
      <c r="G22" s="356">
        <v>69.83</v>
      </c>
      <c r="H22" s="119">
        <v>70</v>
      </c>
      <c r="I22" s="23"/>
      <c r="J22" s="477"/>
      <c r="K22" s="39"/>
      <c r="L22" s="422"/>
    </row>
    <row r="23" spans="1:12" ht="22.5" x14ac:dyDescent="0.2">
      <c r="A23" s="468"/>
      <c r="B23" s="150" t="s">
        <v>75</v>
      </c>
      <c r="C23" s="70" t="s">
        <v>77</v>
      </c>
      <c r="D23" s="71">
        <v>21.4</v>
      </c>
      <c r="E23" s="479">
        <v>15.4</v>
      </c>
      <c r="F23" s="480"/>
      <c r="G23" s="481">
        <v>21.9</v>
      </c>
      <c r="H23" s="479">
        <v>15.4</v>
      </c>
      <c r="I23" s="482"/>
      <c r="J23" s="483"/>
      <c r="K23" s="484"/>
      <c r="L23" s="485"/>
    </row>
    <row r="24" spans="1:12" x14ac:dyDescent="0.2">
      <c r="A24" s="74" t="s">
        <v>6</v>
      </c>
      <c r="B24" s="75" t="s">
        <v>18</v>
      </c>
      <c r="C24" s="486"/>
      <c r="D24" s="487"/>
      <c r="E24" s="488"/>
      <c r="F24" s="487"/>
      <c r="G24" s="487"/>
      <c r="H24" s="487"/>
      <c r="I24" s="489"/>
      <c r="J24" s="490"/>
      <c r="K24" s="491"/>
      <c r="L24" s="486"/>
    </row>
    <row r="25" spans="1:12" x14ac:dyDescent="0.2">
      <c r="A25" s="89" t="s">
        <v>12</v>
      </c>
      <c r="B25" s="151" t="s">
        <v>80</v>
      </c>
      <c r="C25" s="492"/>
      <c r="D25" s="493"/>
      <c r="E25" s="22"/>
      <c r="F25" s="493"/>
      <c r="G25" s="493"/>
      <c r="H25" s="493"/>
      <c r="I25" s="23"/>
      <c r="J25" s="477"/>
      <c r="K25" s="494"/>
      <c r="L25" s="492"/>
    </row>
    <row r="26" spans="1:12" x14ac:dyDescent="0.2">
      <c r="A26" s="79">
        <v>1</v>
      </c>
      <c r="B26" s="152" t="s">
        <v>81</v>
      </c>
      <c r="C26" s="79" t="s">
        <v>82</v>
      </c>
      <c r="D26" s="30">
        <f t="shared" ref="D26" si="1">SUM(D27:D33)</f>
        <v>120</v>
      </c>
      <c r="E26" s="30">
        <f>SUM(E27:E33)</f>
        <v>120</v>
      </c>
      <c r="F26" s="30">
        <f t="shared" ref="F26:H26" si="2">SUM(F27:F33)</f>
        <v>120</v>
      </c>
      <c r="G26" s="30">
        <f t="shared" si="2"/>
        <v>120</v>
      </c>
      <c r="H26" s="30">
        <f t="shared" si="2"/>
        <v>120</v>
      </c>
      <c r="I26" s="23"/>
      <c r="J26" s="477"/>
      <c r="K26" s="39"/>
      <c r="L26" s="40"/>
    </row>
    <row r="27" spans="1:12" x14ac:dyDescent="0.2">
      <c r="A27" s="80"/>
      <c r="B27" s="153" t="s">
        <v>83</v>
      </c>
      <c r="C27" s="80" t="s">
        <v>84</v>
      </c>
      <c r="D27" s="120">
        <v>1</v>
      </c>
      <c r="E27" s="30">
        <v>1</v>
      </c>
      <c r="F27" s="30">
        <v>1</v>
      </c>
      <c r="G27" s="120">
        <v>1</v>
      </c>
      <c r="H27" s="30">
        <v>1</v>
      </c>
      <c r="I27" s="23"/>
      <c r="J27" s="477"/>
      <c r="K27" s="39"/>
      <c r="L27" s="40"/>
    </row>
    <row r="28" spans="1:12" x14ac:dyDescent="0.2">
      <c r="A28" s="80"/>
      <c r="B28" s="153" t="s">
        <v>85</v>
      </c>
      <c r="C28" s="80" t="s">
        <v>84</v>
      </c>
      <c r="D28" s="120">
        <v>2</v>
      </c>
      <c r="E28" s="30">
        <v>2</v>
      </c>
      <c r="F28" s="30">
        <v>2</v>
      </c>
      <c r="G28" s="120">
        <v>2</v>
      </c>
      <c r="H28" s="30">
        <v>2</v>
      </c>
      <c r="I28" s="23"/>
      <c r="J28" s="477"/>
      <c r="K28" s="39"/>
      <c r="L28" s="40"/>
    </row>
    <row r="29" spans="1:12" x14ac:dyDescent="0.2">
      <c r="A29" s="80"/>
      <c r="B29" s="154" t="s">
        <v>153</v>
      </c>
      <c r="C29" s="80" t="s">
        <v>87</v>
      </c>
      <c r="D29" s="120">
        <v>1</v>
      </c>
      <c r="E29" s="30">
        <v>1</v>
      </c>
      <c r="F29" s="30">
        <v>1</v>
      </c>
      <c r="G29" s="120">
        <v>1</v>
      </c>
      <c r="H29" s="30">
        <v>1</v>
      </c>
      <c r="I29" s="23"/>
      <c r="J29" s="477"/>
      <c r="K29" s="39"/>
      <c r="L29" s="40"/>
    </row>
    <row r="30" spans="1:12" x14ac:dyDescent="0.2">
      <c r="A30" s="80"/>
      <c r="B30" s="153" t="s">
        <v>154</v>
      </c>
      <c r="C30" s="80" t="s">
        <v>87</v>
      </c>
      <c r="D30" s="120">
        <v>8</v>
      </c>
      <c r="E30" s="30">
        <v>8</v>
      </c>
      <c r="F30" s="30">
        <v>8</v>
      </c>
      <c r="G30" s="120">
        <v>8</v>
      </c>
      <c r="H30" s="30">
        <v>8</v>
      </c>
      <c r="I30" s="23"/>
      <c r="J30" s="477"/>
      <c r="K30" s="39"/>
      <c r="L30" s="40"/>
    </row>
    <row r="31" spans="1:12" x14ac:dyDescent="0.2">
      <c r="A31" s="80"/>
      <c r="B31" s="154" t="s">
        <v>151</v>
      </c>
      <c r="C31" s="80" t="s">
        <v>87</v>
      </c>
      <c r="D31" s="120">
        <v>1</v>
      </c>
      <c r="E31" s="30">
        <v>1</v>
      </c>
      <c r="F31" s="30">
        <v>1</v>
      </c>
      <c r="G31" s="120">
        <v>1</v>
      </c>
      <c r="H31" s="30">
        <v>1</v>
      </c>
      <c r="I31" s="23"/>
      <c r="J31" s="477"/>
      <c r="K31" s="39"/>
      <c r="L31" s="40"/>
    </row>
    <row r="32" spans="1:12" x14ac:dyDescent="0.2">
      <c r="A32" s="80"/>
      <c r="B32" s="105" t="s">
        <v>88</v>
      </c>
      <c r="C32" s="80" t="s">
        <v>89</v>
      </c>
      <c r="D32" s="120">
        <v>4</v>
      </c>
      <c r="E32" s="30">
        <v>4</v>
      </c>
      <c r="F32" s="30">
        <v>4</v>
      </c>
      <c r="G32" s="120">
        <v>4</v>
      </c>
      <c r="H32" s="30">
        <v>4</v>
      </c>
      <c r="I32" s="23"/>
      <c r="J32" s="477"/>
      <c r="K32" s="39"/>
      <c r="L32" s="40"/>
    </row>
    <row r="33" spans="1:12" x14ac:dyDescent="0.2">
      <c r="A33" s="80"/>
      <c r="B33" s="105" t="s">
        <v>90</v>
      </c>
      <c r="C33" s="80" t="s">
        <v>91</v>
      </c>
      <c r="D33" s="120">
        <v>103</v>
      </c>
      <c r="E33" s="30">
        <v>103</v>
      </c>
      <c r="F33" s="30">
        <v>103</v>
      </c>
      <c r="G33" s="120">
        <v>103</v>
      </c>
      <c r="H33" s="30">
        <v>103</v>
      </c>
      <c r="I33" s="23"/>
      <c r="J33" s="477"/>
      <c r="K33" s="39"/>
      <c r="L33" s="40"/>
    </row>
    <row r="34" spans="1:12" x14ac:dyDescent="0.2">
      <c r="A34" s="80"/>
      <c r="B34" s="105" t="s">
        <v>278</v>
      </c>
      <c r="C34" s="80"/>
      <c r="D34" s="118">
        <v>94.2</v>
      </c>
      <c r="E34" s="118">
        <v>94.2</v>
      </c>
      <c r="F34" s="118">
        <v>94.2</v>
      </c>
      <c r="G34" s="118">
        <v>94.2</v>
      </c>
      <c r="H34" s="118">
        <v>94.2</v>
      </c>
      <c r="I34" s="23"/>
      <c r="J34" s="477"/>
      <c r="K34" s="39"/>
      <c r="L34" s="40"/>
    </row>
    <row r="35" spans="1:12" x14ac:dyDescent="0.2">
      <c r="A35" s="79">
        <v>2</v>
      </c>
      <c r="B35" s="152" t="s">
        <v>92</v>
      </c>
      <c r="C35" s="79" t="s">
        <v>82</v>
      </c>
      <c r="D35" s="120">
        <v>2</v>
      </c>
      <c r="E35" s="30">
        <v>2</v>
      </c>
      <c r="F35" s="30">
        <v>2</v>
      </c>
      <c r="G35" s="120">
        <v>2</v>
      </c>
      <c r="H35" s="30">
        <v>2</v>
      </c>
      <c r="I35" s="23"/>
      <c r="J35" s="477"/>
      <c r="K35" s="39"/>
      <c r="L35" s="40"/>
    </row>
    <row r="36" spans="1:12" x14ac:dyDescent="0.2">
      <c r="A36" s="79">
        <v>3</v>
      </c>
      <c r="B36" s="155" t="s">
        <v>93</v>
      </c>
      <c r="C36" s="79" t="s">
        <v>94</v>
      </c>
      <c r="D36" s="30">
        <f t="shared" ref="D36" si="3">D37+D38</f>
        <v>1590</v>
      </c>
      <c r="E36" s="30">
        <f>E37+E38</f>
        <v>1590</v>
      </c>
      <c r="F36" s="30">
        <f t="shared" ref="F36:H36" si="4">F37+F38</f>
        <v>1590</v>
      </c>
      <c r="G36" s="30">
        <f t="shared" si="4"/>
        <v>1590</v>
      </c>
      <c r="H36" s="30">
        <f t="shared" si="4"/>
        <v>1590</v>
      </c>
      <c r="I36" s="23"/>
      <c r="J36" s="477"/>
      <c r="K36" s="39"/>
      <c r="L36" s="40"/>
    </row>
    <row r="37" spans="1:12" x14ac:dyDescent="0.2">
      <c r="A37" s="79"/>
      <c r="B37" s="155" t="s">
        <v>95</v>
      </c>
      <c r="C37" s="79" t="s">
        <v>94</v>
      </c>
      <c r="D37" s="30">
        <v>670</v>
      </c>
      <c r="E37" s="30">
        <v>670</v>
      </c>
      <c r="F37" s="30">
        <v>670</v>
      </c>
      <c r="G37" s="30">
        <v>670</v>
      </c>
      <c r="H37" s="30">
        <v>670</v>
      </c>
      <c r="I37" s="23"/>
      <c r="J37" s="477"/>
      <c r="K37" s="39"/>
      <c r="L37" s="40"/>
    </row>
    <row r="38" spans="1:12" x14ac:dyDescent="0.2">
      <c r="A38" s="79"/>
      <c r="B38" s="155" t="s">
        <v>96</v>
      </c>
      <c r="C38" s="79" t="s">
        <v>94</v>
      </c>
      <c r="D38" s="120">
        <v>920</v>
      </c>
      <c r="E38" s="30">
        <f>E39+E40</f>
        <v>920</v>
      </c>
      <c r="F38" s="30">
        <v>920</v>
      </c>
      <c r="G38" s="120">
        <v>920</v>
      </c>
      <c r="H38" s="30">
        <v>920</v>
      </c>
      <c r="I38" s="23"/>
      <c r="J38" s="477"/>
      <c r="K38" s="39"/>
      <c r="L38" s="40"/>
    </row>
    <row r="39" spans="1:12" x14ac:dyDescent="0.2">
      <c r="A39" s="80"/>
      <c r="B39" s="153" t="s">
        <v>97</v>
      </c>
      <c r="C39" s="79" t="s">
        <v>94</v>
      </c>
      <c r="D39" s="120">
        <v>860</v>
      </c>
      <c r="E39" s="30">
        <v>860</v>
      </c>
      <c r="F39" s="30">
        <v>860</v>
      </c>
      <c r="G39" s="120">
        <v>860</v>
      </c>
      <c r="H39" s="30">
        <v>860</v>
      </c>
      <c r="I39" s="23"/>
      <c r="J39" s="477"/>
      <c r="K39" s="39"/>
      <c r="L39" s="40"/>
    </row>
    <row r="40" spans="1:12" x14ac:dyDescent="0.2">
      <c r="A40" s="80"/>
      <c r="B40" s="156" t="s">
        <v>150</v>
      </c>
      <c r="C40" s="80" t="s">
        <v>94</v>
      </c>
      <c r="D40" s="120">
        <v>60</v>
      </c>
      <c r="E40" s="30">
        <v>60</v>
      </c>
      <c r="F40" s="30">
        <v>60</v>
      </c>
      <c r="G40" s="120">
        <v>60</v>
      </c>
      <c r="H40" s="30">
        <v>60</v>
      </c>
      <c r="I40" s="23"/>
      <c r="J40" s="477"/>
      <c r="K40" s="39"/>
      <c r="L40" s="40"/>
    </row>
    <row r="41" spans="1:12" ht="22.5" x14ac:dyDescent="0.2">
      <c r="A41" s="79">
        <v>4</v>
      </c>
      <c r="B41" s="152" t="s">
        <v>98</v>
      </c>
      <c r="C41" s="79" t="s">
        <v>94</v>
      </c>
      <c r="D41" s="118">
        <f>D36/D11*10000</f>
        <v>33.233701899964466</v>
      </c>
      <c r="E41" s="118">
        <f>E36/E11*10000</f>
        <v>32.820385794346222</v>
      </c>
      <c r="F41" s="118">
        <f>F36/F11*10000</f>
        <v>32.815170102284263</v>
      </c>
      <c r="G41" s="118">
        <f>G36/G11*10000</f>
        <v>32.815170102284263</v>
      </c>
      <c r="H41" s="118">
        <f>H36/H11*10000</f>
        <v>32.820385794346222</v>
      </c>
      <c r="I41" s="23"/>
      <c r="J41" s="477"/>
      <c r="K41" s="39"/>
      <c r="L41" s="40"/>
    </row>
    <row r="42" spans="1:12" ht="22.5" x14ac:dyDescent="0.2">
      <c r="A42" s="495"/>
      <c r="B42" s="496" t="s">
        <v>99</v>
      </c>
      <c r="C42" s="495" t="s">
        <v>100</v>
      </c>
      <c r="D42" s="497">
        <f>D36/D11*10000</f>
        <v>33.233701899964466</v>
      </c>
      <c r="E42" s="497">
        <f>E36/E11*10000</f>
        <v>32.820385794346222</v>
      </c>
      <c r="F42" s="497">
        <f>F36/F11*10000</f>
        <v>32.815170102284263</v>
      </c>
      <c r="G42" s="497">
        <f>G36/G11*10000</f>
        <v>32.815170102284263</v>
      </c>
      <c r="H42" s="497">
        <f>H36/H11*10000</f>
        <v>32.820385794346222</v>
      </c>
      <c r="I42" s="482"/>
      <c r="J42" s="483"/>
      <c r="K42" s="484"/>
      <c r="L42" s="485"/>
    </row>
    <row r="43" spans="1:12" x14ac:dyDescent="0.2">
      <c r="A43" s="498" t="s">
        <v>101</v>
      </c>
      <c r="B43" s="499" t="s">
        <v>102</v>
      </c>
      <c r="C43" s="498"/>
      <c r="D43" s="76"/>
      <c r="E43" s="488"/>
      <c r="F43" s="487"/>
      <c r="G43" s="500"/>
      <c r="H43" s="487"/>
      <c r="I43" s="489"/>
      <c r="J43" s="490"/>
      <c r="K43" s="491"/>
      <c r="L43" s="486"/>
    </row>
    <row r="44" spans="1:12" x14ac:dyDescent="0.2">
      <c r="A44" s="501">
        <v>1</v>
      </c>
      <c r="B44" s="502" t="s">
        <v>103</v>
      </c>
      <c r="C44" s="503" t="s">
        <v>76</v>
      </c>
      <c r="D44" s="504">
        <v>2083</v>
      </c>
      <c r="E44" s="22">
        <v>2935</v>
      </c>
      <c r="F44" s="504">
        <v>2782</v>
      </c>
      <c r="G44" s="504">
        <v>2780</v>
      </c>
      <c r="H44" s="22">
        <v>2935</v>
      </c>
      <c r="I44" s="23"/>
      <c r="J44" s="477"/>
      <c r="K44" s="494"/>
      <c r="L44" s="492"/>
    </row>
    <row r="45" spans="1:12" x14ac:dyDescent="0.2">
      <c r="A45" s="79"/>
      <c r="B45" s="152" t="s">
        <v>104</v>
      </c>
      <c r="C45" s="101"/>
      <c r="D45" s="120"/>
      <c r="E45" s="30"/>
      <c r="F45" s="120"/>
      <c r="G45" s="120"/>
      <c r="H45" s="30"/>
      <c r="I45" s="23"/>
      <c r="J45" s="477"/>
      <c r="K45" s="39"/>
      <c r="L45" s="40"/>
    </row>
    <row r="46" spans="1:12" ht="15.75" customHeight="1" x14ac:dyDescent="0.2">
      <c r="A46" s="79" t="s">
        <v>105</v>
      </c>
      <c r="B46" s="152" t="s">
        <v>106</v>
      </c>
      <c r="C46" s="101" t="s">
        <v>76</v>
      </c>
      <c r="D46" s="120">
        <v>518</v>
      </c>
      <c r="E46" s="30">
        <v>597</v>
      </c>
      <c r="F46" s="120">
        <v>515</v>
      </c>
      <c r="G46" s="120">
        <v>515</v>
      </c>
      <c r="H46" s="30">
        <v>597</v>
      </c>
      <c r="I46" s="670" t="s">
        <v>288</v>
      </c>
      <c r="J46" s="671"/>
      <c r="K46" s="671"/>
      <c r="L46" s="672"/>
    </row>
    <row r="47" spans="1:12" ht="30" customHeight="1" x14ac:dyDescent="0.2">
      <c r="A47" s="80"/>
      <c r="B47" s="105" t="s">
        <v>107</v>
      </c>
      <c r="C47" s="533" t="s">
        <v>108</v>
      </c>
      <c r="D47" s="118">
        <f>D46/D11*10000</f>
        <v>10.827080241623642</v>
      </c>
      <c r="E47" s="118">
        <f>E46/E11*10000</f>
        <v>12.323125986933771</v>
      </c>
      <c r="F47" s="118">
        <f>F46/F11*10000</f>
        <v>10.628812957658111</v>
      </c>
      <c r="G47" s="118">
        <f>G46/G11*10000</f>
        <v>10.628812957658111</v>
      </c>
      <c r="H47" s="118">
        <v>12.32</v>
      </c>
      <c r="I47" s="673"/>
      <c r="J47" s="674"/>
      <c r="K47" s="674"/>
      <c r="L47" s="675"/>
    </row>
    <row r="48" spans="1:12" ht="18" customHeight="1" x14ac:dyDescent="0.2">
      <c r="A48" s="79" t="s">
        <v>109</v>
      </c>
      <c r="B48" s="152" t="s">
        <v>110</v>
      </c>
      <c r="C48" s="101" t="s">
        <v>76</v>
      </c>
      <c r="D48" s="120">
        <v>103</v>
      </c>
      <c r="E48" s="30">
        <v>112</v>
      </c>
      <c r="F48" s="120">
        <v>100</v>
      </c>
      <c r="G48" s="120">
        <v>100</v>
      </c>
      <c r="H48" s="30">
        <v>112</v>
      </c>
      <c r="I48" s="23"/>
      <c r="J48" s="477"/>
      <c r="K48" s="39"/>
      <c r="L48" s="40"/>
    </row>
    <row r="49" spans="1:12" x14ac:dyDescent="0.2">
      <c r="A49" s="80"/>
      <c r="B49" s="105" t="s">
        <v>111</v>
      </c>
      <c r="C49" s="102" t="s">
        <v>108</v>
      </c>
      <c r="D49" s="118">
        <f>D48/D11*10000</f>
        <v>2.1528750287398366</v>
      </c>
      <c r="E49" s="118">
        <f>E48/E11*10000</f>
        <v>2.3118762320545767</v>
      </c>
      <c r="F49" s="118">
        <f>F48/F11*10000</f>
        <v>2.0638471762442934</v>
      </c>
      <c r="G49" s="118">
        <f>G48/G11*10000</f>
        <v>2.0638471762442934</v>
      </c>
      <c r="H49" s="118">
        <f>H48/H11*10000</f>
        <v>2.3118762320545767</v>
      </c>
      <c r="I49" s="23"/>
      <c r="J49" s="477"/>
      <c r="K49" s="39"/>
      <c r="L49" s="40"/>
    </row>
    <row r="50" spans="1:12" ht="22.5" x14ac:dyDescent="0.2">
      <c r="A50" s="79">
        <v>2</v>
      </c>
      <c r="B50" s="152" t="s">
        <v>112</v>
      </c>
      <c r="C50" s="101" t="s">
        <v>77</v>
      </c>
      <c r="D50" s="118">
        <f>28/106*100</f>
        <v>26.415094339622641</v>
      </c>
      <c r="E50" s="118">
        <v>25.47</v>
      </c>
      <c r="F50" s="118">
        <f>28/106*100</f>
        <v>26.415094339622641</v>
      </c>
      <c r="G50" s="118">
        <f>28/106*100</f>
        <v>26.415094339622641</v>
      </c>
      <c r="H50" s="118">
        <v>25.47</v>
      </c>
      <c r="I50" s="23"/>
      <c r="J50" s="477"/>
      <c r="K50" s="39"/>
      <c r="L50" s="40"/>
    </row>
    <row r="51" spans="1:12" ht="41.25" customHeight="1" x14ac:dyDescent="0.2">
      <c r="A51" s="505">
        <v>3</v>
      </c>
      <c r="B51" s="418" t="s">
        <v>113</v>
      </c>
      <c r="C51" s="505" t="s">
        <v>77</v>
      </c>
      <c r="D51" s="506">
        <f>865/915*100</f>
        <v>94.535519125683066</v>
      </c>
      <c r="E51" s="497">
        <v>97.38</v>
      </c>
      <c r="F51" s="506">
        <f>864/915*100</f>
        <v>94.426229508196727</v>
      </c>
      <c r="G51" s="506">
        <f>864/915*100</f>
        <v>94.426229508196727</v>
      </c>
      <c r="H51" s="497">
        <v>97.38</v>
      </c>
      <c r="I51" s="665" t="s">
        <v>287</v>
      </c>
      <c r="J51" s="666"/>
      <c r="K51" s="666"/>
      <c r="L51" s="667"/>
    </row>
    <row r="52" spans="1:12" x14ac:dyDescent="0.2">
      <c r="A52" s="498" t="s">
        <v>114</v>
      </c>
      <c r="B52" s="499" t="s">
        <v>115</v>
      </c>
      <c r="C52" s="507"/>
      <c r="D52" s="487"/>
      <c r="E52" s="488"/>
      <c r="F52" s="487"/>
      <c r="G52" s="500"/>
      <c r="H52" s="508"/>
      <c r="I52" s="489"/>
      <c r="J52" s="490"/>
      <c r="K52" s="491"/>
      <c r="L52" s="486"/>
    </row>
    <row r="53" spans="1:12" x14ac:dyDescent="0.2">
      <c r="A53" s="501">
        <v>1</v>
      </c>
      <c r="B53" s="502" t="s">
        <v>116</v>
      </c>
      <c r="C53" s="501" t="s">
        <v>117</v>
      </c>
      <c r="D53" s="509">
        <v>91</v>
      </c>
      <c r="E53" s="22">
        <v>94</v>
      </c>
      <c r="F53" s="22">
        <v>91</v>
      </c>
      <c r="G53" s="504">
        <v>91</v>
      </c>
      <c r="H53" s="504">
        <f>E53</f>
        <v>94</v>
      </c>
      <c r="I53" s="23"/>
      <c r="J53" s="477"/>
      <c r="K53" s="494"/>
      <c r="L53" s="492"/>
    </row>
    <row r="54" spans="1:12" ht="22.5" x14ac:dyDescent="0.2">
      <c r="A54" s="79"/>
      <c r="B54" s="105" t="s">
        <v>118</v>
      </c>
      <c r="C54" s="79" t="s">
        <v>117</v>
      </c>
      <c r="D54" s="509">
        <v>2</v>
      </c>
      <c r="E54" s="30">
        <v>3</v>
      </c>
      <c r="F54" s="30">
        <v>2</v>
      </c>
      <c r="G54" s="120">
        <v>2</v>
      </c>
      <c r="H54" s="504">
        <f t="shared" ref="H54:H71" si="5">E54</f>
        <v>3</v>
      </c>
      <c r="I54" s="23"/>
      <c r="J54" s="477"/>
      <c r="K54" s="39"/>
      <c r="L54" s="40"/>
    </row>
    <row r="55" spans="1:12" x14ac:dyDescent="0.2">
      <c r="A55" s="86"/>
      <c r="B55" s="105" t="s">
        <v>119</v>
      </c>
      <c r="C55" s="80" t="s">
        <v>77</v>
      </c>
      <c r="D55" s="510">
        <f>D53/108*100</f>
        <v>84.259259259259252</v>
      </c>
      <c r="E55" s="118">
        <f>E53/106*100</f>
        <v>88.679245283018872</v>
      </c>
      <c r="F55" s="118">
        <f t="shared" ref="F55:H55" si="6">F53/106*100</f>
        <v>85.84905660377359</v>
      </c>
      <c r="G55" s="118">
        <f t="shared" si="6"/>
        <v>85.84905660377359</v>
      </c>
      <c r="H55" s="118">
        <f t="shared" si="6"/>
        <v>88.679245283018872</v>
      </c>
      <c r="I55" s="23"/>
      <c r="J55" s="477"/>
      <c r="K55" s="39"/>
      <c r="L55" s="40"/>
    </row>
    <row r="56" spans="1:12" ht="54.75" customHeight="1" x14ac:dyDescent="0.2">
      <c r="A56" s="79">
        <v>2</v>
      </c>
      <c r="B56" s="152" t="s">
        <v>120</v>
      </c>
      <c r="C56" s="79" t="s">
        <v>121</v>
      </c>
      <c r="D56" s="531">
        <v>36.39</v>
      </c>
      <c r="E56" s="30">
        <v>29.37</v>
      </c>
      <c r="F56" s="540">
        <v>22.91</v>
      </c>
      <c r="G56" s="539">
        <v>25.78</v>
      </c>
      <c r="H56" s="511">
        <f t="shared" si="5"/>
        <v>29.37</v>
      </c>
      <c r="I56" s="23"/>
      <c r="J56" s="477"/>
      <c r="K56" s="39"/>
      <c r="L56" s="40"/>
    </row>
    <row r="57" spans="1:12" ht="22.5" x14ac:dyDescent="0.2">
      <c r="A57" s="79">
        <v>3</v>
      </c>
      <c r="B57" s="152" t="s">
        <v>122</v>
      </c>
      <c r="C57" s="79" t="s">
        <v>121</v>
      </c>
      <c r="D57" s="532">
        <v>44.3</v>
      </c>
      <c r="E57" s="30">
        <v>42</v>
      </c>
      <c r="F57" s="540">
        <v>29.5</v>
      </c>
      <c r="G57" s="539">
        <v>32.619999999999997</v>
      </c>
      <c r="H57" s="511">
        <f t="shared" si="5"/>
        <v>42</v>
      </c>
      <c r="I57" s="23"/>
      <c r="J57" s="477"/>
      <c r="K57" s="39"/>
      <c r="L57" s="40"/>
    </row>
    <row r="58" spans="1:12" ht="22.5" x14ac:dyDescent="0.2">
      <c r="A58" s="79">
        <v>4</v>
      </c>
      <c r="B58" s="152" t="s">
        <v>123</v>
      </c>
      <c r="C58" s="79" t="s">
        <v>124</v>
      </c>
      <c r="D58" s="525">
        <v>18.71</v>
      </c>
      <c r="E58" s="30">
        <v>17.8</v>
      </c>
      <c r="F58" s="522"/>
      <c r="G58" s="30">
        <v>17.8</v>
      </c>
      <c r="H58" s="511">
        <f t="shared" si="5"/>
        <v>17.8</v>
      </c>
      <c r="I58" s="23"/>
      <c r="J58" s="477"/>
      <c r="K58" s="39"/>
      <c r="L58" s="40"/>
    </row>
    <row r="59" spans="1:12" ht="22.5" x14ac:dyDescent="0.2">
      <c r="A59" s="79"/>
      <c r="B59" s="152" t="s">
        <v>283</v>
      </c>
      <c r="C59" s="79" t="s">
        <v>124</v>
      </c>
      <c r="D59" s="526">
        <v>25.86</v>
      </c>
      <c r="E59" s="30">
        <v>24.52</v>
      </c>
      <c r="F59" s="522"/>
      <c r="G59" s="30">
        <v>24.52</v>
      </c>
      <c r="H59" s="511">
        <f t="shared" si="5"/>
        <v>24.52</v>
      </c>
      <c r="I59" s="23"/>
      <c r="J59" s="477"/>
      <c r="K59" s="39"/>
      <c r="L59" s="40"/>
    </row>
    <row r="60" spans="1:12" ht="22.5" x14ac:dyDescent="0.2">
      <c r="A60" s="79">
        <v>5</v>
      </c>
      <c r="B60" s="152" t="s">
        <v>125</v>
      </c>
      <c r="C60" s="79" t="s">
        <v>126</v>
      </c>
      <c r="D60" s="527">
        <v>93.78</v>
      </c>
      <c r="E60" s="30">
        <v>73.5</v>
      </c>
      <c r="F60" s="461">
        <v>62.81</v>
      </c>
      <c r="G60" s="513">
        <v>52.65</v>
      </c>
      <c r="H60" s="504">
        <f t="shared" si="5"/>
        <v>73.5</v>
      </c>
      <c r="I60" s="23"/>
      <c r="J60" s="477"/>
      <c r="K60" s="39"/>
      <c r="L60" s="40"/>
    </row>
    <row r="61" spans="1:12" ht="22.5" x14ac:dyDescent="0.2">
      <c r="A61" s="79">
        <v>6</v>
      </c>
      <c r="B61" s="152" t="s">
        <v>127</v>
      </c>
      <c r="C61" s="79" t="s">
        <v>77</v>
      </c>
      <c r="D61" s="524">
        <v>45.9</v>
      </c>
      <c r="E61" s="30">
        <v>94.4</v>
      </c>
      <c r="F61" s="448">
        <v>39.35</v>
      </c>
      <c r="G61" s="448">
        <v>47.22</v>
      </c>
      <c r="H61" s="511">
        <f t="shared" si="5"/>
        <v>94.4</v>
      </c>
      <c r="I61" s="23"/>
      <c r="J61" s="477"/>
      <c r="K61" s="39"/>
      <c r="L61" s="40"/>
    </row>
    <row r="62" spans="1:12" x14ac:dyDescent="0.2">
      <c r="A62" s="79">
        <v>7</v>
      </c>
      <c r="B62" s="152" t="s">
        <v>128</v>
      </c>
      <c r="C62" s="79" t="s">
        <v>77</v>
      </c>
      <c r="D62" s="528">
        <v>68.86</v>
      </c>
      <c r="E62" s="30">
        <v>66.599999999999994</v>
      </c>
      <c r="F62" s="432">
        <v>68.55</v>
      </c>
      <c r="G62" s="454">
        <v>69.89</v>
      </c>
      <c r="H62" s="511">
        <f t="shared" si="5"/>
        <v>66.599999999999994</v>
      </c>
      <c r="I62" s="23"/>
      <c r="J62" s="477"/>
      <c r="K62" s="39"/>
      <c r="L62" s="40"/>
    </row>
    <row r="63" spans="1:12" x14ac:dyDescent="0.2">
      <c r="A63" s="79">
        <v>8</v>
      </c>
      <c r="B63" s="152" t="s">
        <v>129</v>
      </c>
      <c r="C63" s="79" t="s">
        <v>77</v>
      </c>
      <c r="D63" s="528">
        <v>76.53</v>
      </c>
      <c r="E63" s="30">
        <v>71.430000000000007</v>
      </c>
      <c r="F63" s="432">
        <v>73.55</v>
      </c>
      <c r="G63" s="432">
        <v>74.73</v>
      </c>
      <c r="H63" s="511">
        <f t="shared" si="5"/>
        <v>71.430000000000007</v>
      </c>
      <c r="I63" s="23"/>
      <c r="J63" s="477"/>
      <c r="K63" s="39"/>
      <c r="L63" s="40"/>
    </row>
    <row r="64" spans="1:12" x14ac:dyDescent="0.2">
      <c r="A64" s="79">
        <v>9</v>
      </c>
      <c r="B64" s="152" t="s">
        <v>130</v>
      </c>
      <c r="C64" s="79"/>
      <c r="D64" s="529"/>
      <c r="E64" s="30"/>
      <c r="F64" s="470"/>
      <c r="G64" s="120"/>
      <c r="H64" s="511">
        <f t="shared" si="5"/>
        <v>0</v>
      </c>
      <c r="I64" s="23"/>
      <c r="J64" s="477"/>
      <c r="K64" s="39"/>
      <c r="L64" s="40"/>
    </row>
    <row r="65" spans="1:12" x14ac:dyDescent="0.2">
      <c r="A65" s="87"/>
      <c r="B65" s="159" t="s">
        <v>131</v>
      </c>
      <c r="C65" s="87" t="s">
        <v>79</v>
      </c>
      <c r="D65" s="530">
        <v>0.09</v>
      </c>
      <c r="E65" s="30">
        <v>1.57</v>
      </c>
      <c r="F65" s="474">
        <v>7.0000000000000007E-2</v>
      </c>
      <c r="G65" s="121">
        <v>0.09</v>
      </c>
      <c r="H65" s="511">
        <f t="shared" si="5"/>
        <v>1.57</v>
      </c>
      <c r="I65" s="23"/>
      <c r="J65" s="477"/>
      <c r="K65" s="39"/>
      <c r="L65" s="40"/>
    </row>
    <row r="66" spans="1:12" x14ac:dyDescent="0.2">
      <c r="A66" s="80"/>
      <c r="B66" s="105" t="s">
        <v>132</v>
      </c>
      <c r="C66" s="80" t="s">
        <v>133</v>
      </c>
      <c r="D66" s="530">
        <f>46/D11*100000</f>
        <v>9.6147816817507259</v>
      </c>
      <c r="E66" s="30">
        <v>30.82</v>
      </c>
      <c r="F66" s="430">
        <v>14.24</v>
      </c>
      <c r="G66" s="430">
        <v>20.02</v>
      </c>
      <c r="H66" s="511">
        <f t="shared" si="5"/>
        <v>30.82</v>
      </c>
      <c r="I66" s="23"/>
      <c r="J66" s="477"/>
      <c r="K66" s="39"/>
      <c r="L66" s="40"/>
    </row>
    <row r="67" spans="1:12" x14ac:dyDescent="0.2">
      <c r="A67" s="80"/>
      <c r="B67" s="105" t="s">
        <v>134</v>
      </c>
      <c r="C67" s="80" t="s">
        <v>77</v>
      </c>
      <c r="D67" s="530">
        <v>0.37440941994824894</v>
      </c>
      <c r="E67" s="30">
        <v>0.36</v>
      </c>
      <c r="F67" s="430">
        <f>1742/F11*100</f>
        <v>0.35952217810175591</v>
      </c>
      <c r="G67" s="474">
        <f>1742/G11*100</f>
        <v>0.35952217810175591</v>
      </c>
      <c r="H67" s="511">
        <f t="shared" si="5"/>
        <v>0.36</v>
      </c>
      <c r="I67" s="23"/>
      <c r="J67" s="477"/>
      <c r="K67" s="39"/>
      <c r="L67" s="40"/>
    </row>
    <row r="68" spans="1:12" x14ac:dyDescent="0.2">
      <c r="A68" s="79">
        <v>10</v>
      </c>
      <c r="B68" s="152" t="s">
        <v>135</v>
      </c>
      <c r="C68" s="66" t="s">
        <v>77</v>
      </c>
      <c r="D68" s="509">
        <v>94</v>
      </c>
      <c r="E68" s="30">
        <v>85</v>
      </c>
      <c r="F68" s="514"/>
      <c r="G68" s="543">
        <f>386736/484455*100</f>
        <v>79.829086292844536</v>
      </c>
      <c r="H68" s="504">
        <f t="shared" si="5"/>
        <v>85</v>
      </c>
      <c r="I68" s="23"/>
      <c r="J68" s="477"/>
      <c r="K68" s="39"/>
      <c r="L68" s="40"/>
    </row>
    <row r="69" spans="1:12" ht="39" customHeight="1" x14ac:dyDescent="0.2">
      <c r="A69" s="420">
        <v>11</v>
      </c>
      <c r="B69" s="418" t="s">
        <v>270</v>
      </c>
      <c r="C69" s="66"/>
      <c r="D69" s="512">
        <v>30</v>
      </c>
      <c r="E69" s="30">
        <v>40</v>
      </c>
      <c r="F69" s="661" t="s">
        <v>284</v>
      </c>
      <c r="G69" s="662"/>
      <c r="H69" s="118">
        <f t="shared" si="5"/>
        <v>40</v>
      </c>
      <c r="I69" s="23"/>
      <c r="J69" s="477"/>
      <c r="K69" s="39"/>
      <c r="L69" s="40"/>
    </row>
    <row r="70" spans="1:12" ht="22.5" x14ac:dyDescent="0.2">
      <c r="A70" s="420">
        <v>12</v>
      </c>
      <c r="B70" s="418" t="s">
        <v>271</v>
      </c>
      <c r="C70" s="66"/>
      <c r="D70" s="512">
        <v>88.78</v>
      </c>
      <c r="E70" s="30">
        <v>88.13</v>
      </c>
      <c r="F70" s="663" t="s">
        <v>285</v>
      </c>
      <c r="G70" s="664"/>
      <c r="H70" s="118">
        <f t="shared" si="5"/>
        <v>88.13</v>
      </c>
      <c r="I70" s="536"/>
      <c r="J70" s="537"/>
      <c r="K70" s="39"/>
      <c r="L70" s="40"/>
    </row>
    <row r="71" spans="1:12" ht="22.5" x14ac:dyDescent="0.25">
      <c r="A71" s="410">
        <v>13</v>
      </c>
      <c r="B71" s="160" t="s">
        <v>145</v>
      </c>
      <c r="C71" s="534" t="s">
        <v>146</v>
      </c>
      <c r="D71" s="538">
        <v>2295</v>
      </c>
      <c r="E71" s="538">
        <v>2025</v>
      </c>
      <c r="F71" s="538">
        <v>2150</v>
      </c>
      <c r="G71" s="538">
        <v>2120</v>
      </c>
      <c r="H71" s="538">
        <f t="shared" si="5"/>
        <v>2025</v>
      </c>
      <c r="I71" s="535"/>
      <c r="J71" s="535"/>
      <c r="K71" s="535"/>
      <c r="L71" s="535"/>
    </row>
    <row r="72" spans="1:12" ht="15.75" customHeight="1" x14ac:dyDescent="0.2">
      <c r="A72" s="668" t="s">
        <v>33</v>
      </c>
      <c r="B72" s="668"/>
      <c r="C72" s="668"/>
      <c r="D72" s="668"/>
      <c r="E72" s="668"/>
      <c r="F72" s="668"/>
      <c r="G72" s="668"/>
      <c r="H72" s="668"/>
      <c r="I72" s="668"/>
      <c r="J72" s="668"/>
      <c r="K72" s="668"/>
      <c r="L72" s="668"/>
    </row>
    <row r="73" spans="1:12" x14ac:dyDescent="0.2">
      <c r="A73" s="669"/>
      <c r="B73" s="669"/>
      <c r="C73" s="669"/>
      <c r="D73" s="669"/>
      <c r="E73" s="669"/>
      <c r="F73" s="669"/>
      <c r="G73" s="669"/>
      <c r="H73" s="669"/>
      <c r="I73" s="669"/>
      <c r="J73" s="669"/>
      <c r="K73" s="669"/>
      <c r="L73" s="669"/>
    </row>
  </sheetData>
  <mergeCells count="16">
    <mergeCell ref="F69:G69"/>
    <mergeCell ref="F70:G70"/>
    <mergeCell ref="I51:L51"/>
    <mergeCell ref="A72:L73"/>
    <mergeCell ref="I46:L47"/>
    <mergeCell ref="A1:B1"/>
    <mergeCell ref="A2:L2"/>
    <mergeCell ref="A3:L3"/>
    <mergeCell ref="A5:A6"/>
    <mergeCell ref="B5:B6"/>
    <mergeCell ref="C5:C6"/>
    <mergeCell ref="D5:D6"/>
    <mergeCell ref="E5:H5"/>
    <mergeCell ref="I5:J5"/>
    <mergeCell ref="K5:K6"/>
    <mergeCell ref="L5:L6"/>
  </mergeCells>
  <pageMargins left="0.8" right="0.43" top="0.48" bottom="0.6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workbookViewId="0">
      <selection activeCell="W10" sqref="W10"/>
    </sheetView>
  </sheetViews>
  <sheetFormatPr defaultRowHeight="18" customHeight="1" x14ac:dyDescent="0.25"/>
  <cols>
    <col min="1" max="1" width="3.625" style="541" customWidth="1"/>
    <col min="2" max="2" width="16.875" style="541" customWidth="1"/>
    <col min="3" max="3" width="5.25" style="541" customWidth="1"/>
    <col min="4" max="4" width="5.375" style="541" customWidth="1"/>
    <col min="5" max="5" width="7.875" style="541" customWidth="1"/>
    <col min="6" max="7" width="6.5" style="541" customWidth="1"/>
    <col min="8" max="8" width="5.875" style="541" customWidth="1"/>
    <col min="9" max="10" width="8.75" style="541" hidden="1" customWidth="1"/>
    <col min="11" max="11" width="9.25" style="541" hidden="1" customWidth="1"/>
    <col min="12" max="12" width="9.5" style="541" hidden="1" customWidth="1"/>
    <col min="13" max="20" width="10.125" style="541" hidden="1" customWidth="1"/>
    <col min="21" max="21" width="6.625" style="541" customWidth="1"/>
    <col min="22" max="22" width="7.25" style="541" customWidth="1"/>
    <col min="23" max="23" width="6.5" style="541" customWidth="1"/>
    <col min="24" max="24" width="5.75" style="541" customWidth="1"/>
    <col min="25" max="36" width="10.125" style="541" hidden="1" customWidth="1"/>
    <col min="37" max="38" width="6.875" style="541" customWidth="1"/>
    <col min="39" max="39" width="6.75" style="541" customWidth="1"/>
    <col min="40" max="40" width="5.75" style="541" customWidth="1"/>
    <col min="41" max="51" width="10.125" style="541" hidden="1" customWidth="1"/>
    <col min="52" max="52" width="10.375" style="541" hidden="1" customWidth="1"/>
    <col min="53" max="53" width="9.5" style="541" hidden="1" customWidth="1"/>
    <col min="54" max="54" width="6.625" style="542" customWidth="1"/>
    <col min="55" max="55" width="5.25" style="541" customWidth="1"/>
    <col min="56" max="56" width="8.75" style="541" hidden="1" customWidth="1"/>
    <col min="57" max="57" width="5.5" style="541" customWidth="1"/>
    <col min="58" max="59" width="10.125" style="541" hidden="1" customWidth="1"/>
    <col min="60" max="60" width="6" style="541" customWidth="1"/>
    <col min="61" max="61" width="8" style="541" customWidth="1"/>
    <col min="62" max="66" width="9" style="541"/>
    <col min="67" max="67" width="8.625" style="541" bestFit="1" customWidth="1"/>
    <col min="68" max="256" width="9" style="541"/>
    <col min="257" max="257" width="5.125" style="541" customWidth="1"/>
    <col min="258" max="258" width="19.625" style="541" customWidth="1"/>
    <col min="259" max="260" width="7" style="541" customWidth="1"/>
    <col min="261" max="261" width="10.75" style="541" customWidth="1"/>
    <col min="262" max="262" width="9.75" style="541" customWidth="1"/>
    <col min="263" max="263" width="9.125" style="541" customWidth="1"/>
    <col min="264" max="264" width="9.375" style="541" customWidth="1"/>
    <col min="265" max="276" width="0" style="541" hidden="1" customWidth="1"/>
    <col min="277" max="277" width="8.375" style="541" customWidth="1"/>
    <col min="278" max="278" width="9" style="541" customWidth="1"/>
    <col min="279" max="279" width="8" style="541" customWidth="1"/>
    <col min="280" max="280" width="9.875" style="541" customWidth="1"/>
    <col min="281" max="292" width="0" style="541" hidden="1" customWidth="1"/>
    <col min="293" max="293" width="9.375" style="541" customWidth="1"/>
    <col min="294" max="295" width="9.125" style="541" customWidth="1"/>
    <col min="296" max="296" width="9.375" style="541" customWidth="1"/>
    <col min="297" max="309" width="0" style="541" hidden="1" customWidth="1"/>
    <col min="310" max="310" width="8.875" style="541" customWidth="1"/>
    <col min="311" max="311" width="7.25" style="541" customWidth="1"/>
    <col min="312" max="312" width="0" style="541" hidden="1" customWidth="1"/>
    <col min="313" max="313" width="9.5" style="541" customWidth="1"/>
    <col min="314" max="315" width="0" style="541" hidden="1" customWidth="1"/>
    <col min="316" max="316" width="10.125" style="541" customWidth="1"/>
    <col min="317" max="317" width="8" style="541" customWidth="1"/>
    <col min="318" max="322" width="9" style="541"/>
    <col min="323" max="323" width="8.625" style="541" bestFit="1" customWidth="1"/>
    <col min="324" max="512" width="9" style="541"/>
    <col min="513" max="513" width="5.125" style="541" customWidth="1"/>
    <col min="514" max="514" width="19.625" style="541" customWidth="1"/>
    <col min="515" max="516" width="7" style="541" customWidth="1"/>
    <col min="517" max="517" width="10.75" style="541" customWidth="1"/>
    <col min="518" max="518" width="9.75" style="541" customWidth="1"/>
    <col min="519" max="519" width="9.125" style="541" customWidth="1"/>
    <col min="520" max="520" width="9.375" style="541" customWidth="1"/>
    <col min="521" max="532" width="0" style="541" hidden="1" customWidth="1"/>
    <col min="533" max="533" width="8.375" style="541" customWidth="1"/>
    <col min="534" max="534" width="9" style="541" customWidth="1"/>
    <col min="535" max="535" width="8" style="541" customWidth="1"/>
    <col min="536" max="536" width="9.875" style="541" customWidth="1"/>
    <col min="537" max="548" width="0" style="541" hidden="1" customWidth="1"/>
    <col min="549" max="549" width="9.375" style="541" customWidth="1"/>
    <col min="550" max="551" width="9.125" style="541" customWidth="1"/>
    <col min="552" max="552" width="9.375" style="541" customWidth="1"/>
    <col min="553" max="565" width="0" style="541" hidden="1" customWidth="1"/>
    <col min="566" max="566" width="8.875" style="541" customWidth="1"/>
    <col min="567" max="567" width="7.25" style="541" customWidth="1"/>
    <col min="568" max="568" width="0" style="541" hidden="1" customWidth="1"/>
    <col min="569" max="569" width="9.5" style="541" customWidth="1"/>
    <col min="570" max="571" width="0" style="541" hidden="1" customWidth="1"/>
    <col min="572" max="572" width="10.125" style="541" customWidth="1"/>
    <col min="573" max="573" width="8" style="541" customWidth="1"/>
    <col min="574" max="578" width="9" style="541"/>
    <col min="579" max="579" width="8.625" style="541" bestFit="1" customWidth="1"/>
    <col min="580" max="768" width="9" style="541"/>
    <col min="769" max="769" width="5.125" style="541" customWidth="1"/>
    <col min="770" max="770" width="19.625" style="541" customWidth="1"/>
    <col min="771" max="772" width="7" style="541" customWidth="1"/>
    <col min="773" max="773" width="10.75" style="541" customWidth="1"/>
    <col min="774" max="774" width="9.75" style="541" customWidth="1"/>
    <col min="775" max="775" width="9.125" style="541" customWidth="1"/>
    <col min="776" max="776" width="9.375" style="541" customWidth="1"/>
    <col min="777" max="788" width="0" style="541" hidden="1" customWidth="1"/>
    <col min="789" max="789" width="8.375" style="541" customWidth="1"/>
    <col min="790" max="790" width="9" style="541" customWidth="1"/>
    <col min="791" max="791" width="8" style="541" customWidth="1"/>
    <col min="792" max="792" width="9.875" style="541" customWidth="1"/>
    <col min="793" max="804" width="0" style="541" hidden="1" customWidth="1"/>
    <col min="805" max="805" width="9.375" style="541" customWidth="1"/>
    <col min="806" max="807" width="9.125" style="541" customWidth="1"/>
    <col min="808" max="808" width="9.375" style="541" customWidth="1"/>
    <col min="809" max="821" width="0" style="541" hidden="1" customWidth="1"/>
    <col min="822" max="822" width="8.875" style="541" customWidth="1"/>
    <col min="823" max="823" width="7.25" style="541" customWidth="1"/>
    <col min="824" max="824" width="0" style="541" hidden="1" customWidth="1"/>
    <col min="825" max="825" width="9.5" style="541" customWidth="1"/>
    <col min="826" max="827" width="0" style="541" hidden="1" customWidth="1"/>
    <col min="828" max="828" width="10.125" style="541" customWidth="1"/>
    <col min="829" max="829" width="8" style="541" customWidth="1"/>
    <col min="830" max="834" width="9" style="541"/>
    <col min="835" max="835" width="8.625" style="541" bestFit="1" customWidth="1"/>
    <col min="836" max="1024" width="9" style="541"/>
    <col min="1025" max="1025" width="5.125" style="541" customWidth="1"/>
    <col min="1026" max="1026" width="19.625" style="541" customWidth="1"/>
    <col min="1027" max="1028" width="7" style="541" customWidth="1"/>
    <col min="1029" max="1029" width="10.75" style="541" customWidth="1"/>
    <col min="1030" max="1030" width="9.75" style="541" customWidth="1"/>
    <col min="1031" max="1031" width="9.125" style="541" customWidth="1"/>
    <col min="1032" max="1032" width="9.375" style="541" customWidth="1"/>
    <col min="1033" max="1044" width="0" style="541" hidden="1" customWidth="1"/>
    <col min="1045" max="1045" width="8.375" style="541" customWidth="1"/>
    <col min="1046" max="1046" width="9" style="541" customWidth="1"/>
    <col min="1047" max="1047" width="8" style="541" customWidth="1"/>
    <col min="1048" max="1048" width="9.875" style="541" customWidth="1"/>
    <col min="1049" max="1060" width="0" style="541" hidden="1" customWidth="1"/>
    <col min="1061" max="1061" width="9.375" style="541" customWidth="1"/>
    <col min="1062" max="1063" width="9.125" style="541" customWidth="1"/>
    <col min="1064" max="1064" width="9.375" style="541" customWidth="1"/>
    <col min="1065" max="1077" width="0" style="541" hidden="1" customWidth="1"/>
    <col min="1078" max="1078" width="8.875" style="541" customWidth="1"/>
    <col min="1079" max="1079" width="7.25" style="541" customWidth="1"/>
    <col min="1080" max="1080" width="0" style="541" hidden="1" customWidth="1"/>
    <col min="1081" max="1081" width="9.5" style="541" customWidth="1"/>
    <col min="1082" max="1083" width="0" style="541" hidden="1" customWidth="1"/>
    <col min="1084" max="1084" width="10.125" style="541" customWidth="1"/>
    <col min="1085" max="1085" width="8" style="541" customWidth="1"/>
    <col min="1086" max="1090" width="9" style="541"/>
    <col min="1091" max="1091" width="8.625" style="541" bestFit="1" customWidth="1"/>
    <col min="1092" max="1280" width="9" style="541"/>
    <col min="1281" max="1281" width="5.125" style="541" customWidth="1"/>
    <col min="1282" max="1282" width="19.625" style="541" customWidth="1"/>
    <col min="1283" max="1284" width="7" style="541" customWidth="1"/>
    <col min="1285" max="1285" width="10.75" style="541" customWidth="1"/>
    <col min="1286" max="1286" width="9.75" style="541" customWidth="1"/>
    <col min="1287" max="1287" width="9.125" style="541" customWidth="1"/>
    <col min="1288" max="1288" width="9.375" style="541" customWidth="1"/>
    <col min="1289" max="1300" width="0" style="541" hidden="1" customWidth="1"/>
    <col min="1301" max="1301" width="8.375" style="541" customWidth="1"/>
    <col min="1302" max="1302" width="9" style="541" customWidth="1"/>
    <col min="1303" max="1303" width="8" style="541" customWidth="1"/>
    <col min="1304" max="1304" width="9.875" style="541" customWidth="1"/>
    <col min="1305" max="1316" width="0" style="541" hidden="1" customWidth="1"/>
    <col min="1317" max="1317" width="9.375" style="541" customWidth="1"/>
    <col min="1318" max="1319" width="9.125" style="541" customWidth="1"/>
    <col min="1320" max="1320" width="9.375" style="541" customWidth="1"/>
    <col min="1321" max="1333" width="0" style="541" hidden="1" customWidth="1"/>
    <col min="1334" max="1334" width="8.875" style="541" customWidth="1"/>
    <col min="1335" max="1335" width="7.25" style="541" customWidth="1"/>
    <col min="1336" max="1336" width="0" style="541" hidden="1" customWidth="1"/>
    <col min="1337" max="1337" width="9.5" style="541" customWidth="1"/>
    <col min="1338" max="1339" width="0" style="541" hidden="1" customWidth="1"/>
    <col min="1340" max="1340" width="10.125" style="541" customWidth="1"/>
    <col min="1341" max="1341" width="8" style="541" customWidth="1"/>
    <col min="1342" max="1346" width="9" style="541"/>
    <col min="1347" max="1347" width="8.625" style="541" bestFit="1" customWidth="1"/>
    <col min="1348" max="1536" width="9" style="541"/>
    <col min="1537" max="1537" width="5.125" style="541" customWidth="1"/>
    <col min="1538" max="1538" width="19.625" style="541" customWidth="1"/>
    <col min="1539" max="1540" width="7" style="541" customWidth="1"/>
    <col min="1541" max="1541" width="10.75" style="541" customWidth="1"/>
    <col min="1542" max="1542" width="9.75" style="541" customWidth="1"/>
    <col min="1543" max="1543" width="9.125" style="541" customWidth="1"/>
    <col min="1544" max="1544" width="9.375" style="541" customWidth="1"/>
    <col min="1545" max="1556" width="0" style="541" hidden="1" customWidth="1"/>
    <col min="1557" max="1557" width="8.375" style="541" customWidth="1"/>
    <col min="1558" max="1558" width="9" style="541" customWidth="1"/>
    <col min="1559" max="1559" width="8" style="541" customWidth="1"/>
    <col min="1560" max="1560" width="9.875" style="541" customWidth="1"/>
    <col min="1561" max="1572" width="0" style="541" hidden="1" customWidth="1"/>
    <col min="1573" max="1573" width="9.375" style="541" customWidth="1"/>
    <col min="1574" max="1575" width="9.125" style="541" customWidth="1"/>
    <col min="1576" max="1576" width="9.375" style="541" customWidth="1"/>
    <col min="1577" max="1589" width="0" style="541" hidden="1" customWidth="1"/>
    <col min="1590" max="1590" width="8.875" style="541" customWidth="1"/>
    <col min="1591" max="1591" width="7.25" style="541" customWidth="1"/>
    <col min="1592" max="1592" width="0" style="541" hidden="1" customWidth="1"/>
    <col min="1593" max="1593" width="9.5" style="541" customWidth="1"/>
    <col min="1594" max="1595" width="0" style="541" hidden="1" customWidth="1"/>
    <col min="1596" max="1596" width="10.125" style="541" customWidth="1"/>
    <col min="1597" max="1597" width="8" style="541" customWidth="1"/>
    <col min="1598" max="1602" width="9" style="541"/>
    <col min="1603" max="1603" width="8.625" style="541" bestFit="1" customWidth="1"/>
    <col min="1604" max="1792" width="9" style="541"/>
    <col min="1793" max="1793" width="5.125" style="541" customWidth="1"/>
    <col min="1794" max="1794" width="19.625" style="541" customWidth="1"/>
    <col min="1795" max="1796" width="7" style="541" customWidth="1"/>
    <col min="1797" max="1797" width="10.75" style="541" customWidth="1"/>
    <col min="1798" max="1798" width="9.75" style="541" customWidth="1"/>
    <col min="1799" max="1799" width="9.125" style="541" customWidth="1"/>
    <col min="1800" max="1800" width="9.375" style="541" customWidth="1"/>
    <col min="1801" max="1812" width="0" style="541" hidden="1" customWidth="1"/>
    <col min="1813" max="1813" width="8.375" style="541" customWidth="1"/>
    <col min="1814" max="1814" width="9" style="541" customWidth="1"/>
    <col min="1815" max="1815" width="8" style="541" customWidth="1"/>
    <col min="1816" max="1816" width="9.875" style="541" customWidth="1"/>
    <col min="1817" max="1828" width="0" style="541" hidden="1" customWidth="1"/>
    <col min="1829" max="1829" width="9.375" style="541" customWidth="1"/>
    <col min="1830" max="1831" width="9.125" style="541" customWidth="1"/>
    <col min="1832" max="1832" width="9.375" style="541" customWidth="1"/>
    <col min="1833" max="1845" width="0" style="541" hidden="1" customWidth="1"/>
    <col min="1846" max="1846" width="8.875" style="541" customWidth="1"/>
    <col min="1847" max="1847" width="7.25" style="541" customWidth="1"/>
    <col min="1848" max="1848" width="0" style="541" hidden="1" customWidth="1"/>
    <col min="1849" max="1849" width="9.5" style="541" customWidth="1"/>
    <col min="1850" max="1851" width="0" style="541" hidden="1" customWidth="1"/>
    <col min="1852" max="1852" width="10.125" style="541" customWidth="1"/>
    <col min="1853" max="1853" width="8" style="541" customWidth="1"/>
    <col min="1854" max="1858" width="9" style="541"/>
    <col min="1859" max="1859" width="8.625" style="541" bestFit="1" customWidth="1"/>
    <col min="1860" max="2048" width="9" style="541"/>
    <col min="2049" max="2049" width="5.125" style="541" customWidth="1"/>
    <col min="2050" max="2050" width="19.625" style="541" customWidth="1"/>
    <col min="2051" max="2052" width="7" style="541" customWidth="1"/>
    <col min="2053" max="2053" width="10.75" style="541" customWidth="1"/>
    <col min="2054" max="2054" width="9.75" style="541" customWidth="1"/>
    <col min="2055" max="2055" width="9.125" style="541" customWidth="1"/>
    <col min="2056" max="2056" width="9.375" style="541" customWidth="1"/>
    <col min="2057" max="2068" width="0" style="541" hidden="1" customWidth="1"/>
    <col min="2069" max="2069" width="8.375" style="541" customWidth="1"/>
    <col min="2070" max="2070" width="9" style="541" customWidth="1"/>
    <col min="2071" max="2071" width="8" style="541" customWidth="1"/>
    <col min="2072" max="2072" width="9.875" style="541" customWidth="1"/>
    <col min="2073" max="2084" width="0" style="541" hidden="1" customWidth="1"/>
    <col min="2085" max="2085" width="9.375" style="541" customWidth="1"/>
    <col min="2086" max="2087" width="9.125" style="541" customWidth="1"/>
    <col min="2088" max="2088" width="9.375" style="541" customWidth="1"/>
    <col min="2089" max="2101" width="0" style="541" hidden="1" customWidth="1"/>
    <col min="2102" max="2102" width="8.875" style="541" customWidth="1"/>
    <col min="2103" max="2103" width="7.25" style="541" customWidth="1"/>
    <col min="2104" max="2104" width="0" style="541" hidden="1" customWidth="1"/>
    <col min="2105" max="2105" width="9.5" style="541" customWidth="1"/>
    <col min="2106" max="2107" width="0" style="541" hidden="1" customWidth="1"/>
    <col min="2108" max="2108" width="10.125" style="541" customWidth="1"/>
    <col min="2109" max="2109" width="8" style="541" customWidth="1"/>
    <col min="2110" max="2114" width="9" style="541"/>
    <col min="2115" max="2115" width="8.625" style="541" bestFit="1" customWidth="1"/>
    <col min="2116" max="2304" width="9" style="541"/>
    <col min="2305" max="2305" width="5.125" style="541" customWidth="1"/>
    <col min="2306" max="2306" width="19.625" style="541" customWidth="1"/>
    <col min="2307" max="2308" width="7" style="541" customWidth="1"/>
    <col min="2309" max="2309" width="10.75" style="541" customWidth="1"/>
    <col min="2310" max="2310" width="9.75" style="541" customWidth="1"/>
    <col min="2311" max="2311" width="9.125" style="541" customWidth="1"/>
    <col min="2312" max="2312" width="9.375" style="541" customWidth="1"/>
    <col min="2313" max="2324" width="0" style="541" hidden="1" customWidth="1"/>
    <col min="2325" max="2325" width="8.375" style="541" customWidth="1"/>
    <col min="2326" max="2326" width="9" style="541" customWidth="1"/>
    <col min="2327" max="2327" width="8" style="541" customWidth="1"/>
    <col min="2328" max="2328" width="9.875" style="541" customWidth="1"/>
    <col min="2329" max="2340" width="0" style="541" hidden="1" customWidth="1"/>
    <col min="2341" max="2341" width="9.375" style="541" customWidth="1"/>
    <col min="2342" max="2343" width="9.125" style="541" customWidth="1"/>
    <col min="2344" max="2344" width="9.375" style="541" customWidth="1"/>
    <col min="2345" max="2357" width="0" style="541" hidden="1" customWidth="1"/>
    <col min="2358" max="2358" width="8.875" style="541" customWidth="1"/>
    <col min="2359" max="2359" width="7.25" style="541" customWidth="1"/>
    <col min="2360" max="2360" width="0" style="541" hidden="1" customWidth="1"/>
    <col min="2361" max="2361" width="9.5" style="541" customWidth="1"/>
    <col min="2362" max="2363" width="0" style="541" hidden="1" customWidth="1"/>
    <col min="2364" max="2364" width="10.125" style="541" customWidth="1"/>
    <col min="2365" max="2365" width="8" style="541" customWidth="1"/>
    <col min="2366" max="2370" width="9" style="541"/>
    <col min="2371" max="2371" width="8.625" style="541" bestFit="1" customWidth="1"/>
    <col min="2372" max="2560" width="9" style="541"/>
    <col min="2561" max="2561" width="5.125" style="541" customWidth="1"/>
    <col min="2562" max="2562" width="19.625" style="541" customWidth="1"/>
    <col min="2563" max="2564" width="7" style="541" customWidth="1"/>
    <col min="2565" max="2565" width="10.75" style="541" customWidth="1"/>
    <col min="2566" max="2566" width="9.75" style="541" customWidth="1"/>
    <col min="2567" max="2567" width="9.125" style="541" customWidth="1"/>
    <col min="2568" max="2568" width="9.375" style="541" customWidth="1"/>
    <col min="2569" max="2580" width="0" style="541" hidden="1" customWidth="1"/>
    <col min="2581" max="2581" width="8.375" style="541" customWidth="1"/>
    <col min="2582" max="2582" width="9" style="541" customWidth="1"/>
    <col min="2583" max="2583" width="8" style="541" customWidth="1"/>
    <col min="2584" max="2584" width="9.875" style="541" customWidth="1"/>
    <col min="2585" max="2596" width="0" style="541" hidden="1" customWidth="1"/>
    <col min="2597" max="2597" width="9.375" style="541" customWidth="1"/>
    <col min="2598" max="2599" width="9.125" style="541" customWidth="1"/>
    <col min="2600" max="2600" width="9.375" style="541" customWidth="1"/>
    <col min="2601" max="2613" width="0" style="541" hidden="1" customWidth="1"/>
    <col min="2614" max="2614" width="8.875" style="541" customWidth="1"/>
    <col min="2615" max="2615" width="7.25" style="541" customWidth="1"/>
    <col min="2616" max="2616" width="0" style="541" hidden="1" customWidth="1"/>
    <col min="2617" max="2617" width="9.5" style="541" customWidth="1"/>
    <col min="2618" max="2619" width="0" style="541" hidden="1" customWidth="1"/>
    <col min="2620" max="2620" width="10.125" style="541" customWidth="1"/>
    <col min="2621" max="2621" width="8" style="541" customWidth="1"/>
    <col min="2622" max="2626" width="9" style="541"/>
    <col min="2627" max="2627" width="8.625" style="541" bestFit="1" customWidth="1"/>
    <col min="2628" max="2816" width="9" style="541"/>
    <col min="2817" max="2817" width="5.125" style="541" customWidth="1"/>
    <col min="2818" max="2818" width="19.625" style="541" customWidth="1"/>
    <col min="2819" max="2820" width="7" style="541" customWidth="1"/>
    <col min="2821" max="2821" width="10.75" style="541" customWidth="1"/>
    <col min="2822" max="2822" width="9.75" style="541" customWidth="1"/>
    <col min="2823" max="2823" width="9.125" style="541" customWidth="1"/>
    <col min="2824" max="2824" width="9.375" style="541" customWidth="1"/>
    <col min="2825" max="2836" width="0" style="541" hidden="1" customWidth="1"/>
    <col min="2837" max="2837" width="8.375" style="541" customWidth="1"/>
    <col min="2838" max="2838" width="9" style="541" customWidth="1"/>
    <col min="2839" max="2839" width="8" style="541" customWidth="1"/>
    <col min="2840" max="2840" width="9.875" style="541" customWidth="1"/>
    <col min="2841" max="2852" width="0" style="541" hidden="1" customWidth="1"/>
    <col min="2853" max="2853" width="9.375" style="541" customWidth="1"/>
    <col min="2854" max="2855" width="9.125" style="541" customWidth="1"/>
    <col min="2856" max="2856" width="9.375" style="541" customWidth="1"/>
    <col min="2857" max="2869" width="0" style="541" hidden="1" customWidth="1"/>
    <col min="2870" max="2870" width="8.875" style="541" customWidth="1"/>
    <col min="2871" max="2871" width="7.25" style="541" customWidth="1"/>
    <col min="2872" max="2872" width="0" style="541" hidden="1" customWidth="1"/>
    <col min="2873" max="2873" width="9.5" style="541" customWidth="1"/>
    <col min="2874" max="2875" width="0" style="541" hidden="1" customWidth="1"/>
    <col min="2876" max="2876" width="10.125" style="541" customWidth="1"/>
    <col min="2877" max="2877" width="8" style="541" customWidth="1"/>
    <col min="2878" max="2882" width="9" style="541"/>
    <col min="2883" max="2883" width="8.625" style="541" bestFit="1" customWidth="1"/>
    <col min="2884" max="3072" width="9" style="541"/>
    <col min="3073" max="3073" width="5.125" style="541" customWidth="1"/>
    <col min="3074" max="3074" width="19.625" style="541" customWidth="1"/>
    <col min="3075" max="3076" width="7" style="541" customWidth="1"/>
    <col min="3077" max="3077" width="10.75" style="541" customWidth="1"/>
    <col min="3078" max="3078" width="9.75" style="541" customWidth="1"/>
    <col min="3079" max="3079" width="9.125" style="541" customWidth="1"/>
    <col min="3080" max="3080" width="9.375" style="541" customWidth="1"/>
    <col min="3081" max="3092" width="0" style="541" hidden="1" customWidth="1"/>
    <col min="3093" max="3093" width="8.375" style="541" customWidth="1"/>
    <col min="3094" max="3094" width="9" style="541" customWidth="1"/>
    <col min="3095" max="3095" width="8" style="541" customWidth="1"/>
    <col min="3096" max="3096" width="9.875" style="541" customWidth="1"/>
    <col min="3097" max="3108" width="0" style="541" hidden="1" customWidth="1"/>
    <col min="3109" max="3109" width="9.375" style="541" customWidth="1"/>
    <col min="3110" max="3111" width="9.125" style="541" customWidth="1"/>
    <col min="3112" max="3112" width="9.375" style="541" customWidth="1"/>
    <col min="3113" max="3125" width="0" style="541" hidden="1" customWidth="1"/>
    <col min="3126" max="3126" width="8.875" style="541" customWidth="1"/>
    <col min="3127" max="3127" width="7.25" style="541" customWidth="1"/>
    <col min="3128" max="3128" width="0" style="541" hidden="1" customWidth="1"/>
    <col min="3129" max="3129" width="9.5" style="541" customWidth="1"/>
    <col min="3130" max="3131" width="0" style="541" hidden="1" customWidth="1"/>
    <col min="3132" max="3132" width="10.125" style="541" customWidth="1"/>
    <col min="3133" max="3133" width="8" style="541" customWidth="1"/>
    <col min="3134" max="3138" width="9" style="541"/>
    <col min="3139" max="3139" width="8.625" style="541" bestFit="1" customWidth="1"/>
    <col min="3140" max="3328" width="9" style="541"/>
    <col min="3329" max="3329" width="5.125" style="541" customWidth="1"/>
    <col min="3330" max="3330" width="19.625" style="541" customWidth="1"/>
    <col min="3331" max="3332" width="7" style="541" customWidth="1"/>
    <col min="3333" max="3333" width="10.75" style="541" customWidth="1"/>
    <col min="3334" max="3334" width="9.75" style="541" customWidth="1"/>
    <col min="3335" max="3335" width="9.125" style="541" customWidth="1"/>
    <col min="3336" max="3336" width="9.375" style="541" customWidth="1"/>
    <col min="3337" max="3348" width="0" style="541" hidden="1" customWidth="1"/>
    <col min="3349" max="3349" width="8.375" style="541" customWidth="1"/>
    <col min="3350" max="3350" width="9" style="541" customWidth="1"/>
    <col min="3351" max="3351" width="8" style="541" customWidth="1"/>
    <col min="3352" max="3352" width="9.875" style="541" customWidth="1"/>
    <col min="3353" max="3364" width="0" style="541" hidden="1" customWidth="1"/>
    <col min="3365" max="3365" width="9.375" style="541" customWidth="1"/>
    <col min="3366" max="3367" width="9.125" style="541" customWidth="1"/>
    <col min="3368" max="3368" width="9.375" style="541" customWidth="1"/>
    <col min="3369" max="3381" width="0" style="541" hidden="1" customWidth="1"/>
    <col min="3382" max="3382" width="8.875" style="541" customWidth="1"/>
    <col min="3383" max="3383" width="7.25" style="541" customWidth="1"/>
    <col min="3384" max="3384" width="0" style="541" hidden="1" customWidth="1"/>
    <col min="3385" max="3385" width="9.5" style="541" customWidth="1"/>
    <col min="3386" max="3387" width="0" style="541" hidden="1" customWidth="1"/>
    <col min="3388" max="3388" width="10.125" style="541" customWidth="1"/>
    <col min="3389" max="3389" width="8" style="541" customWidth="1"/>
    <col min="3390" max="3394" width="9" style="541"/>
    <col min="3395" max="3395" width="8.625" style="541" bestFit="1" customWidth="1"/>
    <col min="3396" max="3584" width="9" style="541"/>
    <col min="3585" max="3585" width="5.125" style="541" customWidth="1"/>
    <col min="3586" max="3586" width="19.625" style="541" customWidth="1"/>
    <col min="3587" max="3588" width="7" style="541" customWidth="1"/>
    <col min="3589" max="3589" width="10.75" style="541" customWidth="1"/>
    <col min="3590" max="3590" width="9.75" style="541" customWidth="1"/>
    <col min="3591" max="3591" width="9.125" style="541" customWidth="1"/>
    <col min="3592" max="3592" width="9.375" style="541" customWidth="1"/>
    <col min="3593" max="3604" width="0" style="541" hidden="1" customWidth="1"/>
    <col min="3605" max="3605" width="8.375" style="541" customWidth="1"/>
    <col min="3606" max="3606" width="9" style="541" customWidth="1"/>
    <col min="3607" max="3607" width="8" style="541" customWidth="1"/>
    <col min="3608" max="3608" width="9.875" style="541" customWidth="1"/>
    <col min="3609" max="3620" width="0" style="541" hidden="1" customWidth="1"/>
    <col min="3621" max="3621" width="9.375" style="541" customWidth="1"/>
    <col min="3622" max="3623" width="9.125" style="541" customWidth="1"/>
    <col min="3624" max="3624" width="9.375" style="541" customWidth="1"/>
    <col min="3625" max="3637" width="0" style="541" hidden="1" customWidth="1"/>
    <col min="3638" max="3638" width="8.875" style="541" customWidth="1"/>
    <col min="3639" max="3639" width="7.25" style="541" customWidth="1"/>
    <col min="3640" max="3640" width="0" style="541" hidden="1" customWidth="1"/>
    <col min="3641" max="3641" width="9.5" style="541" customWidth="1"/>
    <col min="3642" max="3643" width="0" style="541" hidden="1" customWidth="1"/>
    <col min="3644" max="3644" width="10.125" style="541" customWidth="1"/>
    <col min="3645" max="3645" width="8" style="541" customWidth="1"/>
    <col min="3646" max="3650" width="9" style="541"/>
    <col min="3651" max="3651" width="8.625" style="541" bestFit="1" customWidth="1"/>
    <col min="3652" max="3840" width="9" style="541"/>
    <col min="3841" max="3841" width="5.125" style="541" customWidth="1"/>
    <col min="3842" max="3842" width="19.625" style="541" customWidth="1"/>
    <col min="3843" max="3844" width="7" style="541" customWidth="1"/>
    <col min="3845" max="3845" width="10.75" style="541" customWidth="1"/>
    <col min="3846" max="3846" width="9.75" style="541" customWidth="1"/>
    <col min="3847" max="3847" width="9.125" style="541" customWidth="1"/>
    <col min="3848" max="3848" width="9.375" style="541" customWidth="1"/>
    <col min="3849" max="3860" width="0" style="541" hidden="1" customWidth="1"/>
    <col min="3861" max="3861" width="8.375" style="541" customWidth="1"/>
    <col min="3862" max="3862" width="9" style="541" customWidth="1"/>
    <col min="3863" max="3863" width="8" style="541" customWidth="1"/>
    <col min="3864" max="3864" width="9.875" style="541" customWidth="1"/>
    <col min="3865" max="3876" width="0" style="541" hidden="1" customWidth="1"/>
    <col min="3877" max="3877" width="9.375" style="541" customWidth="1"/>
    <col min="3878" max="3879" width="9.125" style="541" customWidth="1"/>
    <col min="3880" max="3880" width="9.375" style="541" customWidth="1"/>
    <col min="3881" max="3893" width="0" style="541" hidden="1" customWidth="1"/>
    <col min="3894" max="3894" width="8.875" style="541" customWidth="1"/>
    <col min="3895" max="3895" width="7.25" style="541" customWidth="1"/>
    <col min="3896" max="3896" width="0" style="541" hidden="1" customWidth="1"/>
    <col min="3897" max="3897" width="9.5" style="541" customWidth="1"/>
    <col min="3898" max="3899" width="0" style="541" hidden="1" customWidth="1"/>
    <col min="3900" max="3900" width="10.125" style="541" customWidth="1"/>
    <col min="3901" max="3901" width="8" style="541" customWidth="1"/>
    <col min="3902" max="3906" width="9" style="541"/>
    <col min="3907" max="3907" width="8.625" style="541" bestFit="1" customWidth="1"/>
    <col min="3908" max="4096" width="9" style="541"/>
    <col min="4097" max="4097" width="5.125" style="541" customWidth="1"/>
    <col min="4098" max="4098" width="19.625" style="541" customWidth="1"/>
    <col min="4099" max="4100" width="7" style="541" customWidth="1"/>
    <col min="4101" max="4101" width="10.75" style="541" customWidth="1"/>
    <col min="4102" max="4102" width="9.75" style="541" customWidth="1"/>
    <col min="4103" max="4103" width="9.125" style="541" customWidth="1"/>
    <col min="4104" max="4104" width="9.375" style="541" customWidth="1"/>
    <col min="4105" max="4116" width="0" style="541" hidden="1" customWidth="1"/>
    <col min="4117" max="4117" width="8.375" style="541" customWidth="1"/>
    <col min="4118" max="4118" width="9" style="541" customWidth="1"/>
    <col min="4119" max="4119" width="8" style="541" customWidth="1"/>
    <col min="4120" max="4120" width="9.875" style="541" customWidth="1"/>
    <col min="4121" max="4132" width="0" style="541" hidden="1" customWidth="1"/>
    <col min="4133" max="4133" width="9.375" style="541" customWidth="1"/>
    <col min="4134" max="4135" width="9.125" style="541" customWidth="1"/>
    <col min="4136" max="4136" width="9.375" style="541" customWidth="1"/>
    <col min="4137" max="4149" width="0" style="541" hidden="1" customWidth="1"/>
    <col min="4150" max="4150" width="8.875" style="541" customWidth="1"/>
    <col min="4151" max="4151" width="7.25" style="541" customWidth="1"/>
    <col min="4152" max="4152" width="0" style="541" hidden="1" customWidth="1"/>
    <col min="4153" max="4153" width="9.5" style="541" customWidth="1"/>
    <col min="4154" max="4155" width="0" style="541" hidden="1" customWidth="1"/>
    <col min="4156" max="4156" width="10.125" style="541" customWidth="1"/>
    <col min="4157" max="4157" width="8" style="541" customWidth="1"/>
    <col min="4158" max="4162" width="9" style="541"/>
    <col min="4163" max="4163" width="8.625" style="541" bestFit="1" customWidth="1"/>
    <col min="4164" max="4352" width="9" style="541"/>
    <col min="4353" max="4353" width="5.125" style="541" customWidth="1"/>
    <col min="4354" max="4354" width="19.625" style="541" customWidth="1"/>
    <col min="4355" max="4356" width="7" style="541" customWidth="1"/>
    <col min="4357" max="4357" width="10.75" style="541" customWidth="1"/>
    <col min="4358" max="4358" width="9.75" style="541" customWidth="1"/>
    <col min="4359" max="4359" width="9.125" style="541" customWidth="1"/>
    <col min="4360" max="4360" width="9.375" style="541" customWidth="1"/>
    <col min="4361" max="4372" width="0" style="541" hidden="1" customWidth="1"/>
    <col min="4373" max="4373" width="8.375" style="541" customWidth="1"/>
    <col min="4374" max="4374" width="9" style="541" customWidth="1"/>
    <col min="4375" max="4375" width="8" style="541" customWidth="1"/>
    <col min="4376" max="4376" width="9.875" style="541" customWidth="1"/>
    <col min="4377" max="4388" width="0" style="541" hidden="1" customWidth="1"/>
    <col min="4389" max="4389" width="9.375" style="541" customWidth="1"/>
    <col min="4390" max="4391" width="9.125" style="541" customWidth="1"/>
    <col min="4392" max="4392" width="9.375" style="541" customWidth="1"/>
    <col min="4393" max="4405" width="0" style="541" hidden="1" customWidth="1"/>
    <col min="4406" max="4406" width="8.875" style="541" customWidth="1"/>
    <col min="4407" max="4407" width="7.25" style="541" customWidth="1"/>
    <col min="4408" max="4408" width="0" style="541" hidden="1" customWidth="1"/>
    <col min="4409" max="4409" width="9.5" style="541" customWidth="1"/>
    <col min="4410" max="4411" width="0" style="541" hidden="1" customWidth="1"/>
    <col min="4412" max="4412" width="10.125" style="541" customWidth="1"/>
    <col min="4413" max="4413" width="8" style="541" customWidth="1"/>
    <col min="4414" max="4418" width="9" style="541"/>
    <col min="4419" max="4419" width="8.625" style="541" bestFit="1" customWidth="1"/>
    <col min="4420" max="4608" width="9" style="541"/>
    <col min="4609" max="4609" width="5.125" style="541" customWidth="1"/>
    <col min="4610" max="4610" width="19.625" style="541" customWidth="1"/>
    <col min="4611" max="4612" width="7" style="541" customWidth="1"/>
    <col min="4613" max="4613" width="10.75" style="541" customWidth="1"/>
    <col min="4614" max="4614" width="9.75" style="541" customWidth="1"/>
    <col min="4615" max="4615" width="9.125" style="541" customWidth="1"/>
    <col min="4616" max="4616" width="9.375" style="541" customWidth="1"/>
    <col min="4617" max="4628" width="0" style="541" hidden="1" customWidth="1"/>
    <col min="4629" max="4629" width="8.375" style="541" customWidth="1"/>
    <col min="4630" max="4630" width="9" style="541" customWidth="1"/>
    <col min="4631" max="4631" width="8" style="541" customWidth="1"/>
    <col min="4632" max="4632" width="9.875" style="541" customWidth="1"/>
    <col min="4633" max="4644" width="0" style="541" hidden="1" customWidth="1"/>
    <col min="4645" max="4645" width="9.375" style="541" customWidth="1"/>
    <col min="4646" max="4647" width="9.125" style="541" customWidth="1"/>
    <col min="4648" max="4648" width="9.375" style="541" customWidth="1"/>
    <col min="4649" max="4661" width="0" style="541" hidden="1" customWidth="1"/>
    <col min="4662" max="4662" width="8.875" style="541" customWidth="1"/>
    <col min="4663" max="4663" width="7.25" style="541" customWidth="1"/>
    <col min="4664" max="4664" width="0" style="541" hidden="1" customWidth="1"/>
    <col min="4665" max="4665" width="9.5" style="541" customWidth="1"/>
    <col min="4666" max="4667" width="0" style="541" hidden="1" customWidth="1"/>
    <col min="4668" max="4668" width="10.125" style="541" customWidth="1"/>
    <col min="4669" max="4669" width="8" style="541" customWidth="1"/>
    <col min="4670" max="4674" width="9" style="541"/>
    <col min="4675" max="4675" width="8.625" style="541" bestFit="1" customWidth="1"/>
    <col min="4676" max="4864" width="9" style="541"/>
    <col min="4865" max="4865" width="5.125" style="541" customWidth="1"/>
    <col min="4866" max="4866" width="19.625" style="541" customWidth="1"/>
    <col min="4867" max="4868" width="7" style="541" customWidth="1"/>
    <col min="4869" max="4869" width="10.75" style="541" customWidth="1"/>
    <col min="4870" max="4870" width="9.75" style="541" customWidth="1"/>
    <col min="4871" max="4871" width="9.125" style="541" customWidth="1"/>
    <col min="4872" max="4872" width="9.375" style="541" customWidth="1"/>
    <col min="4873" max="4884" width="0" style="541" hidden="1" customWidth="1"/>
    <col min="4885" max="4885" width="8.375" style="541" customWidth="1"/>
    <col min="4886" max="4886" width="9" style="541" customWidth="1"/>
    <col min="4887" max="4887" width="8" style="541" customWidth="1"/>
    <col min="4888" max="4888" width="9.875" style="541" customWidth="1"/>
    <col min="4889" max="4900" width="0" style="541" hidden="1" customWidth="1"/>
    <col min="4901" max="4901" width="9.375" style="541" customWidth="1"/>
    <col min="4902" max="4903" width="9.125" style="541" customWidth="1"/>
    <col min="4904" max="4904" width="9.375" style="541" customWidth="1"/>
    <col min="4905" max="4917" width="0" style="541" hidden="1" customWidth="1"/>
    <col min="4918" max="4918" width="8.875" style="541" customWidth="1"/>
    <col min="4919" max="4919" width="7.25" style="541" customWidth="1"/>
    <col min="4920" max="4920" width="0" style="541" hidden="1" customWidth="1"/>
    <col min="4921" max="4921" width="9.5" style="541" customWidth="1"/>
    <col min="4922" max="4923" width="0" style="541" hidden="1" customWidth="1"/>
    <col min="4924" max="4924" width="10.125" style="541" customWidth="1"/>
    <col min="4925" max="4925" width="8" style="541" customWidth="1"/>
    <col min="4926" max="4930" width="9" style="541"/>
    <col min="4931" max="4931" width="8.625" style="541" bestFit="1" customWidth="1"/>
    <col min="4932" max="5120" width="9" style="541"/>
    <col min="5121" max="5121" width="5.125" style="541" customWidth="1"/>
    <col min="5122" max="5122" width="19.625" style="541" customWidth="1"/>
    <col min="5123" max="5124" width="7" style="541" customWidth="1"/>
    <col min="5125" max="5125" width="10.75" style="541" customWidth="1"/>
    <col min="5126" max="5126" width="9.75" style="541" customWidth="1"/>
    <col min="5127" max="5127" width="9.125" style="541" customWidth="1"/>
    <col min="5128" max="5128" width="9.375" style="541" customWidth="1"/>
    <col min="5129" max="5140" width="0" style="541" hidden="1" customWidth="1"/>
    <col min="5141" max="5141" width="8.375" style="541" customWidth="1"/>
    <col min="5142" max="5142" width="9" style="541" customWidth="1"/>
    <col min="5143" max="5143" width="8" style="541" customWidth="1"/>
    <col min="5144" max="5144" width="9.875" style="541" customWidth="1"/>
    <col min="5145" max="5156" width="0" style="541" hidden="1" customWidth="1"/>
    <col min="5157" max="5157" width="9.375" style="541" customWidth="1"/>
    <col min="5158" max="5159" width="9.125" style="541" customWidth="1"/>
    <col min="5160" max="5160" width="9.375" style="541" customWidth="1"/>
    <col min="5161" max="5173" width="0" style="541" hidden="1" customWidth="1"/>
    <col min="5174" max="5174" width="8.875" style="541" customWidth="1"/>
    <col min="5175" max="5175" width="7.25" style="541" customWidth="1"/>
    <col min="5176" max="5176" width="0" style="541" hidden="1" customWidth="1"/>
    <col min="5177" max="5177" width="9.5" style="541" customWidth="1"/>
    <col min="5178" max="5179" width="0" style="541" hidden="1" customWidth="1"/>
    <col min="5180" max="5180" width="10.125" style="541" customWidth="1"/>
    <col min="5181" max="5181" width="8" style="541" customWidth="1"/>
    <col min="5182" max="5186" width="9" style="541"/>
    <col min="5187" max="5187" width="8.625" style="541" bestFit="1" customWidth="1"/>
    <col min="5188" max="5376" width="9" style="541"/>
    <col min="5377" max="5377" width="5.125" style="541" customWidth="1"/>
    <col min="5378" max="5378" width="19.625" style="541" customWidth="1"/>
    <col min="5379" max="5380" width="7" style="541" customWidth="1"/>
    <col min="5381" max="5381" width="10.75" style="541" customWidth="1"/>
    <col min="5382" max="5382" width="9.75" style="541" customWidth="1"/>
    <col min="5383" max="5383" width="9.125" style="541" customWidth="1"/>
    <col min="5384" max="5384" width="9.375" style="541" customWidth="1"/>
    <col min="5385" max="5396" width="0" style="541" hidden="1" customWidth="1"/>
    <col min="5397" max="5397" width="8.375" style="541" customWidth="1"/>
    <col min="5398" max="5398" width="9" style="541" customWidth="1"/>
    <col min="5399" max="5399" width="8" style="541" customWidth="1"/>
    <col min="5400" max="5400" width="9.875" style="541" customWidth="1"/>
    <col min="5401" max="5412" width="0" style="541" hidden="1" customWidth="1"/>
    <col min="5413" max="5413" width="9.375" style="541" customWidth="1"/>
    <col min="5414" max="5415" width="9.125" style="541" customWidth="1"/>
    <col min="5416" max="5416" width="9.375" style="541" customWidth="1"/>
    <col min="5417" max="5429" width="0" style="541" hidden="1" customWidth="1"/>
    <col min="5430" max="5430" width="8.875" style="541" customWidth="1"/>
    <col min="5431" max="5431" width="7.25" style="541" customWidth="1"/>
    <col min="5432" max="5432" width="0" style="541" hidden="1" customWidth="1"/>
    <col min="5433" max="5433" width="9.5" style="541" customWidth="1"/>
    <col min="5434" max="5435" width="0" style="541" hidden="1" customWidth="1"/>
    <col min="5436" max="5436" width="10.125" style="541" customWidth="1"/>
    <col min="5437" max="5437" width="8" style="541" customWidth="1"/>
    <col min="5438" max="5442" width="9" style="541"/>
    <col min="5443" max="5443" width="8.625" style="541" bestFit="1" customWidth="1"/>
    <col min="5444" max="5632" width="9" style="541"/>
    <col min="5633" max="5633" width="5.125" style="541" customWidth="1"/>
    <col min="5634" max="5634" width="19.625" style="541" customWidth="1"/>
    <col min="5635" max="5636" width="7" style="541" customWidth="1"/>
    <col min="5637" max="5637" width="10.75" style="541" customWidth="1"/>
    <col min="5638" max="5638" width="9.75" style="541" customWidth="1"/>
    <col min="5639" max="5639" width="9.125" style="541" customWidth="1"/>
    <col min="5640" max="5640" width="9.375" style="541" customWidth="1"/>
    <col min="5641" max="5652" width="0" style="541" hidden="1" customWidth="1"/>
    <col min="5653" max="5653" width="8.375" style="541" customWidth="1"/>
    <col min="5654" max="5654" width="9" style="541" customWidth="1"/>
    <col min="5655" max="5655" width="8" style="541" customWidth="1"/>
    <col min="5656" max="5656" width="9.875" style="541" customWidth="1"/>
    <col min="5657" max="5668" width="0" style="541" hidden="1" customWidth="1"/>
    <col min="5669" max="5669" width="9.375" style="541" customWidth="1"/>
    <col min="5670" max="5671" width="9.125" style="541" customWidth="1"/>
    <col min="5672" max="5672" width="9.375" style="541" customWidth="1"/>
    <col min="5673" max="5685" width="0" style="541" hidden="1" customWidth="1"/>
    <col min="5686" max="5686" width="8.875" style="541" customWidth="1"/>
    <col min="5687" max="5687" width="7.25" style="541" customWidth="1"/>
    <col min="5688" max="5688" width="0" style="541" hidden="1" customWidth="1"/>
    <col min="5689" max="5689" width="9.5" style="541" customWidth="1"/>
    <col min="5690" max="5691" width="0" style="541" hidden="1" customWidth="1"/>
    <col min="5692" max="5692" width="10.125" style="541" customWidth="1"/>
    <col min="5693" max="5693" width="8" style="541" customWidth="1"/>
    <col min="5694" max="5698" width="9" style="541"/>
    <col min="5699" max="5699" width="8.625" style="541" bestFit="1" customWidth="1"/>
    <col min="5700" max="5888" width="9" style="541"/>
    <col min="5889" max="5889" width="5.125" style="541" customWidth="1"/>
    <col min="5890" max="5890" width="19.625" style="541" customWidth="1"/>
    <col min="5891" max="5892" width="7" style="541" customWidth="1"/>
    <col min="5893" max="5893" width="10.75" style="541" customWidth="1"/>
    <col min="5894" max="5894" width="9.75" style="541" customWidth="1"/>
    <col min="5895" max="5895" width="9.125" style="541" customWidth="1"/>
    <col min="5896" max="5896" width="9.375" style="541" customWidth="1"/>
    <col min="5897" max="5908" width="0" style="541" hidden="1" customWidth="1"/>
    <col min="5909" max="5909" width="8.375" style="541" customWidth="1"/>
    <col min="5910" max="5910" width="9" style="541" customWidth="1"/>
    <col min="5911" max="5911" width="8" style="541" customWidth="1"/>
    <col min="5912" max="5912" width="9.875" style="541" customWidth="1"/>
    <col min="5913" max="5924" width="0" style="541" hidden="1" customWidth="1"/>
    <col min="5925" max="5925" width="9.375" style="541" customWidth="1"/>
    <col min="5926" max="5927" width="9.125" style="541" customWidth="1"/>
    <col min="5928" max="5928" width="9.375" style="541" customWidth="1"/>
    <col min="5929" max="5941" width="0" style="541" hidden="1" customWidth="1"/>
    <col min="5942" max="5942" width="8.875" style="541" customWidth="1"/>
    <col min="5943" max="5943" width="7.25" style="541" customWidth="1"/>
    <col min="5944" max="5944" width="0" style="541" hidden="1" customWidth="1"/>
    <col min="5945" max="5945" width="9.5" style="541" customWidth="1"/>
    <col min="5946" max="5947" width="0" style="541" hidden="1" customWidth="1"/>
    <col min="5948" max="5948" width="10.125" style="541" customWidth="1"/>
    <col min="5949" max="5949" width="8" style="541" customWidth="1"/>
    <col min="5950" max="5954" width="9" style="541"/>
    <col min="5955" max="5955" width="8.625" style="541" bestFit="1" customWidth="1"/>
    <col min="5956" max="6144" width="9" style="541"/>
    <col min="6145" max="6145" width="5.125" style="541" customWidth="1"/>
    <col min="6146" max="6146" width="19.625" style="541" customWidth="1"/>
    <col min="6147" max="6148" width="7" style="541" customWidth="1"/>
    <col min="6149" max="6149" width="10.75" style="541" customWidth="1"/>
    <col min="6150" max="6150" width="9.75" style="541" customWidth="1"/>
    <col min="6151" max="6151" width="9.125" style="541" customWidth="1"/>
    <col min="6152" max="6152" width="9.375" style="541" customWidth="1"/>
    <col min="6153" max="6164" width="0" style="541" hidden="1" customWidth="1"/>
    <col min="6165" max="6165" width="8.375" style="541" customWidth="1"/>
    <col min="6166" max="6166" width="9" style="541" customWidth="1"/>
    <col min="6167" max="6167" width="8" style="541" customWidth="1"/>
    <col min="6168" max="6168" width="9.875" style="541" customWidth="1"/>
    <col min="6169" max="6180" width="0" style="541" hidden="1" customWidth="1"/>
    <col min="6181" max="6181" width="9.375" style="541" customWidth="1"/>
    <col min="6182" max="6183" width="9.125" style="541" customWidth="1"/>
    <col min="6184" max="6184" width="9.375" style="541" customWidth="1"/>
    <col min="6185" max="6197" width="0" style="541" hidden="1" customWidth="1"/>
    <col min="6198" max="6198" width="8.875" style="541" customWidth="1"/>
    <col min="6199" max="6199" width="7.25" style="541" customWidth="1"/>
    <col min="6200" max="6200" width="0" style="541" hidden="1" customWidth="1"/>
    <col min="6201" max="6201" width="9.5" style="541" customWidth="1"/>
    <col min="6202" max="6203" width="0" style="541" hidden="1" customWidth="1"/>
    <col min="6204" max="6204" width="10.125" style="541" customWidth="1"/>
    <col min="6205" max="6205" width="8" style="541" customWidth="1"/>
    <col min="6206" max="6210" width="9" style="541"/>
    <col min="6211" max="6211" width="8.625" style="541" bestFit="1" customWidth="1"/>
    <col min="6212" max="6400" width="9" style="541"/>
    <col min="6401" max="6401" width="5.125" style="541" customWidth="1"/>
    <col min="6402" max="6402" width="19.625" style="541" customWidth="1"/>
    <col min="6403" max="6404" width="7" style="541" customWidth="1"/>
    <col min="6405" max="6405" width="10.75" style="541" customWidth="1"/>
    <col min="6406" max="6406" width="9.75" style="541" customWidth="1"/>
    <col min="6407" max="6407" width="9.125" style="541" customWidth="1"/>
    <col min="6408" max="6408" width="9.375" style="541" customWidth="1"/>
    <col min="6409" max="6420" width="0" style="541" hidden="1" customWidth="1"/>
    <col min="6421" max="6421" width="8.375" style="541" customWidth="1"/>
    <col min="6422" max="6422" width="9" style="541" customWidth="1"/>
    <col min="6423" max="6423" width="8" style="541" customWidth="1"/>
    <col min="6424" max="6424" width="9.875" style="541" customWidth="1"/>
    <col min="6425" max="6436" width="0" style="541" hidden="1" customWidth="1"/>
    <col min="6437" max="6437" width="9.375" style="541" customWidth="1"/>
    <col min="6438" max="6439" width="9.125" style="541" customWidth="1"/>
    <col min="6440" max="6440" width="9.375" style="541" customWidth="1"/>
    <col min="6441" max="6453" width="0" style="541" hidden="1" customWidth="1"/>
    <col min="6454" max="6454" width="8.875" style="541" customWidth="1"/>
    <col min="6455" max="6455" width="7.25" style="541" customWidth="1"/>
    <col min="6456" max="6456" width="0" style="541" hidden="1" customWidth="1"/>
    <col min="6457" max="6457" width="9.5" style="541" customWidth="1"/>
    <col min="6458" max="6459" width="0" style="541" hidden="1" customWidth="1"/>
    <col min="6460" max="6460" width="10.125" style="541" customWidth="1"/>
    <col min="6461" max="6461" width="8" style="541" customWidth="1"/>
    <col min="6462" max="6466" width="9" style="541"/>
    <col min="6467" max="6467" width="8.625" style="541" bestFit="1" customWidth="1"/>
    <col min="6468" max="6656" width="9" style="541"/>
    <col min="6657" max="6657" width="5.125" style="541" customWidth="1"/>
    <col min="6658" max="6658" width="19.625" style="541" customWidth="1"/>
    <col min="6659" max="6660" width="7" style="541" customWidth="1"/>
    <col min="6661" max="6661" width="10.75" style="541" customWidth="1"/>
    <col min="6662" max="6662" width="9.75" style="541" customWidth="1"/>
    <col min="6663" max="6663" width="9.125" style="541" customWidth="1"/>
    <col min="6664" max="6664" width="9.375" style="541" customWidth="1"/>
    <col min="6665" max="6676" width="0" style="541" hidden="1" customWidth="1"/>
    <col min="6677" max="6677" width="8.375" style="541" customWidth="1"/>
    <col min="6678" max="6678" width="9" style="541" customWidth="1"/>
    <col min="6679" max="6679" width="8" style="541" customWidth="1"/>
    <col min="6680" max="6680" width="9.875" style="541" customWidth="1"/>
    <col min="6681" max="6692" width="0" style="541" hidden="1" customWidth="1"/>
    <col min="6693" max="6693" width="9.375" style="541" customWidth="1"/>
    <col min="6694" max="6695" width="9.125" style="541" customWidth="1"/>
    <col min="6696" max="6696" width="9.375" style="541" customWidth="1"/>
    <col min="6697" max="6709" width="0" style="541" hidden="1" customWidth="1"/>
    <col min="6710" max="6710" width="8.875" style="541" customWidth="1"/>
    <col min="6711" max="6711" width="7.25" style="541" customWidth="1"/>
    <col min="6712" max="6712" width="0" style="541" hidden="1" customWidth="1"/>
    <col min="6713" max="6713" width="9.5" style="541" customWidth="1"/>
    <col min="6714" max="6715" width="0" style="541" hidden="1" customWidth="1"/>
    <col min="6716" max="6716" width="10.125" style="541" customWidth="1"/>
    <col min="6717" max="6717" width="8" style="541" customWidth="1"/>
    <col min="6718" max="6722" width="9" style="541"/>
    <col min="6723" max="6723" width="8.625" style="541" bestFit="1" customWidth="1"/>
    <col min="6724" max="6912" width="9" style="541"/>
    <col min="6913" max="6913" width="5.125" style="541" customWidth="1"/>
    <col min="6914" max="6914" width="19.625" style="541" customWidth="1"/>
    <col min="6915" max="6916" width="7" style="541" customWidth="1"/>
    <col min="6917" max="6917" width="10.75" style="541" customWidth="1"/>
    <col min="6918" max="6918" width="9.75" style="541" customWidth="1"/>
    <col min="6919" max="6919" width="9.125" style="541" customWidth="1"/>
    <col min="6920" max="6920" width="9.375" style="541" customWidth="1"/>
    <col min="6921" max="6932" width="0" style="541" hidden="1" customWidth="1"/>
    <col min="6933" max="6933" width="8.375" style="541" customWidth="1"/>
    <col min="6934" max="6934" width="9" style="541" customWidth="1"/>
    <col min="6935" max="6935" width="8" style="541" customWidth="1"/>
    <col min="6936" max="6936" width="9.875" style="541" customWidth="1"/>
    <col min="6937" max="6948" width="0" style="541" hidden="1" customWidth="1"/>
    <col min="6949" max="6949" width="9.375" style="541" customWidth="1"/>
    <col min="6950" max="6951" width="9.125" style="541" customWidth="1"/>
    <col min="6952" max="6952" width="9.375" style="541" customWidth="1"/>
    <col min="6953" max="6965" width="0" style="541" hidden="1" customWidth="1"/>
    <col min="6966" max="6966" width="8.875" style="541" customWidth="1"/>
    <col min="6967" max="6967" width="7.25" style="541" customWidth="1"/>
    <col min="6968" max="6968" width="0" style="541" hidden="1" customWidth="1"/>
    <col min="6969" max="6969" width="9.5" style="541" customWidth="1"/>
    <col min="6970" max="6971" width="0" style="541" hidden="1" customWidth="1"/>
    <col min="6972" max="6972" width="10.125" style="541" customWidth="1"/>
    <col min="6973" max="6973" width="8" style="541" customWidth="1"/>
    <col min="6974" max="6978" width="9" style="541"/>
    <col min="6979" max="6979" width="8.625" style="541" bestFit="1" customWidth="1"/>
    <col min="6980" max="7168" width="9" style="541"/>
    <col min="7169" max="7169" width="5.125" style="541" customWidth="1"/>
    <col min="7170" max="7170" width="19.625" style="541" customWidth="1"/>
    <col min="7171" max="7172" width="7" style="541" customWidth="1"/>
    <col min="7173" max="7173" width="10.75" style="541" customWidth="1"/>
    <col min="7174" max="7174" width="9.75" style="541" customWidth="1"/>
    <col min="7175" max="7175" width="9.125" style="541" customWidth="1"/>
    <col min="7176" max="7176" width="9.375" style="541" customWidth="1"/>
    <col min="7177" max="7188" width="0" style="541" hidden="1" customWidth="1"/>
    <col min="7189" max="7189" width="8.375" style="541" customWidth="1"/>
    <col min="7190" max="7190" width="9" style="541" customWidth="1"/>
    <col min="7191" max="7191" width="8" style="541" customWidth="1"/>
    <col min="7192" max="7192" width="9.875" style="541" customWidth="1"/>
    <col min="7193" max="7204" width="0" style="541" hidden="1" customWidth="1"/>
    <col min="7205" max="7205" width="9.375" style="541" customWidth="1"/>
    <col min="7206" max="7207" width="9.125" style="541" customWidth="1"/>
    <col min="7208" max="7208" width="9.375" style="541" customWidth="1"/>
    <col min="7209" max="7221" width="0" style="541" hidden="1" customWidth="1"/>
    <col min="7222" max="7222" width="8.875" style="541" customWidth="1"/>
    <col min="7223" max="7223" width="7.25" style="541" customWidth="1"/>
    <col min="7224" max="7224" width="0" style="541" hidden="1" customWidth="1"/>
    <col min="7225" max="7225" width="9.5" style="541" customWidth="1"/>
    <col min="7226" max="7227" width="0" style="541" hidden="1" customWidth="1"/>
    <col min="7228" max="7228" width="10.125" style="541" customWidth="1"/>
    <col min="7229" max="7229" width="8" style="541" customWidth="1"/>
    <col min="7230" max="7234" width="9" style="541"/>
    <col min="7235" max="7235" width="8.625" style="541" bestFit="1" customWidth="1"/>
    <col min="7236" max="7424" width="9" style="541"/>
    <col min="7425" max="7425" width="5.125" style="541" customWidth="1"/>
    <col min="7426" max="7426" width="19.625" style="541" customWidth="1"/>
    <col min="7427" max="7428" width="7" style="541" customWidth="1"/>
    <col min="7429" max="7429" width="10.75" style="541" customWidth="1"/>
    <col min="7430" max="7430" width="9.75" style="541" customWidth="1"/>
    <col min="7431" max="7431" width="9.125" style="541" customWidth="1"/>
    <col min="7432" max="7432" width="9.375" style="541" customWidth="1"/>
    <col min="7433" max="7444" width="0" style="541" hidden="1" customWidth="1"/>
    <col min="7445" max="7445" width="8.375" style="541" customWidth="1"/>
    <col min="7446" max="7446" width="9" style="541" customWidth="1"/>
    <col min="7447" max="7447" width="8" style="541" customWidth="1"/>
    <col min="7448" max="7448" width="9.875" style="541" customWidth="1"/>
    <col min="7449" max="7460" width="0" style="541" hidden="1" customWidth="1"/>
    <col min="7461" max="7461" width="9.375" style="541" customWidth="1"/>
    <col min="7462" max="7463" width="9.125" style="541" customWidth="1"/>
    <col min="7464" max="7464" width="9.375" style="541" customWidth="1"/>
    <col min="7465" max="7477" width="0" style="541" hidden="1" customWidth="1"/>
    <col min="7478" max="7478" width="8.875" style="541" customWidth="1"/>
    <col min="7479" max="7479" width="7.25" style="541" customWidth="1"/>
    <col min="7480" max="7480" width="0" style="541" hidden="1" customWidth="1"/>
    <col min="7481" max="7481" width="9.5" style="541" customWidth="1"/>
    <col min="7482" max="7483" width="0" style="541" hidden="1" customWidth="1"/>
    <col min="7484" max="7484" width="10.125" style="541" customWidth="1"/>
    <col min="7485" max="7485" width="8" style="541" customWidth="1"/>
    <col min="7486" max="7490" width="9" style="541"/>
    <col min="7491" max="7491" width="8.625" style="541" bestFit="1" customWidth="1"/>
    <col min="7492" max="7680" width="9" style="541"/>
    <col min="7681" max="7681" width="5.125" style="541" customWidth="1"/>
    <col min="7682" max="7682" width="19.625" style="541" customWidth="1"/>
    <col min="7683" max="7684" width="7" style="541" customWidth="1"/>
    <col min="7685" max="7685" width="10.75" style="541" customWidth="1"/>
    <col min="7686" max="7686" width="9.75" style="541" customWidth="1"/>
    <col min="7687" max="7687" width="9.125" style="541" customWidth="1"/>
    <col min="7688" max="7688" width="9.375" style="541" customWidth="1"/>
    <col min="7689" max="7700" width="0" style="541" hidden="1" customWidth="1"/>
    <col min="7701" max="7701" width="8.375" style="541" customWidth="1"/>
    <col min="7702" max="7702" width="9" style="541" customWidth="1"/>
    <col min="7703" max="7703" width="8" style="541" customWidth="1"/>
    <col min="7704" max="7704" width="9.875" style="541" customWidth="1"/>
    <col min="7705" max="7716" width="0" style="541" hidden="1" customWidth="1"/>
    <col min="7717" max="7717" width="9.375" style="541" customWidth="1"/>
    <col min="7718" max="7719" width="9.125" style="541" customWidth="1"/>
    <col min="7720" max="7720" width="9.375" style="541" customWidth="1"/>
    <col min="7721" max="7733" width="0" style="541" hidden="1" customWidth="1"/>
    <col min="7734" max="7734" width="8.875" style="541" customWidth="1"/>
    <col min="7735" max="7735" width="7.25" style="541" customWidth="1"/>
    <col min="7736" max="7736" width="0" style="541" hidden="1" customWidth="1"/>
    <col min="7737" max="7737" width="9.5" style="541" customWidth="1"/>
    <col min="7738" max="7739" width="0" style="541" hidden="1" customWidth="1"/>
    <col min="7740" max="7740" width="10.125" style="541" customWidth="1"/>
    <col min="7741" max="7741" width="8" style="541" customWidth="1"/>
    <col min="7742" max="7746" width="9" style="541"/>
    <col min="7747" max="7747" width="8.625" style="541" bestFit="1" customWidth="1"/>
    <col min="7748" max="7936" width="9" style="541"/>
    <col min="7937" max="7937" width="5.125" style="541" customWidth="1"/>
    <col min="7938" max="7938" width="19.625" style="541" customWidth="1"/>
    <col min="7939" max="7940" width="7" style="541" customWidth="1"/>
    <col min="7941" max="7941" width="10.75" style="541" customWidth="1"/>
    <col min="7942" max="7942" width="9.75" style="541" customWidth="1"/>
    <col min="7943" max="7943" width="9.125" style="541" customWidth="1"/>
    <col min="7944" max="7944" width="9.375" style="541" customWidth="1"/>
    <col min="7945" max="7956" width="0" style="541" hidden="1" customWidth="1"/>
    <col min="7957" max="7957" width="8.375" style="541" customWidth="1"/>
    <col min="7958" max="7958" width="9" style="541" customWidth="1"/>
    <col min="7959" max="7959" width="8" style="541" customWidth="1"/>
    <col min="7960" max="7960" width="9.875" style="541" customWidth="1"/>
    <col min="7961" max="7972" width="0" style="541" hidden="1" customWidth="1"/>
    <col min="7973" max="7973" width="9.375" style="541" customWidth="1"/>
    <col min="7974" max="7975" width="9.125" style="541" customWidth="1"/>
    <col min="7976" max="7976" width="9.375" style="541" customWidth="1"/>
    <col min="7977" max="7989" width="0" style="541" hidden="1" customWidth="1"/>
    <col min="7990" max="7990" width="8.875" style="541" customWidth="1"/>
    <col min="7991" max="7991" width="7.25" style="541" customWidth="1"/>
    <col min="7992" max="7992" width="0" style="541" hidden="1" customWidth="1"/>
    <col min="7993" max="7993" width="9.5" style="541" customWidth="1"/>
    <col min="7994" max="7995" width="0" style="541" hidden="1" customWidth="1"/>
    <col min="7996" max="7996" width="10.125" style="541" customWidth="1"/>
    <col min="7997" max="7997" width="8" style="541" customWidth="1"/>
    <col min="7998" max="8002" width="9" style="541"/>
    <col min="8003" max="8003" width="8.625" style="541" bestFit="1" customWidth="1"/>
    <col min="8004" max="8192" width="9" style="541"/>
    <col min="8193" max="8193" width="5.125" style="541" customWidth="1"/>
    <col min="8194" max="8194" width="19.625" style="541" customWidth="1"/>
    <col min="8195" max="8196" width="7" style="541" customWidth="1"/>
    <col min="8197" max="8197" width="10.75" style="541" customWidth="1"/>
    <col min="8198" max="8198" width="9.75" style="541" customWidth="1"/>
    <col min="8199" max="8199" width="9.125" style="541" customWidth="1"/>
    <col min="8200" max="8200" width="9.375" style="541" customWidth="1"/>
    <col min="8201" max="8212" width="0" style="541" hidden="1" customWidth="1"/>
    <col min="8213" max="8213" width="8.375" style="541" customWidth="1"/>
    <col min="8214" max="8214" width="9" style="541" customWidth="1"/>
    <col min="8215" max="8215" width="8" style="541" customWidth="1"/>
    <col min="8216" max="8216" width="9.875" style="541" customWidth="1"/>
    <col min="8217" max="8228" width="0" style="541" hidden="1" customWidth="1"/>
    <col min="8229" max="8229" width="9.375" style="541" customWidth="1"/>
    <col min="8230" max="8231" width="9.125" style="541" customWidth="1"/>
    <col min="8232" max="8232" width="9.375" style="541" customWidth="1"/>
    <col min="8233" max="8245" width="0" style="541" hidden="1" customWidth="1"/>
    <col min="8246" max="8246" width="8.875" style="541" customWidth="1"/>
    <col min="8247" max="8247" width="7.25" style="541" customWidth="1"/>
    <col min="8248" max="8248" width="0" style="541" hidden="1" customWidth="1"/>
    <col min="8249" max="8249" width="9.5" style="541" customWidth="1"/>
    <col min="8250" max="8251" width="0" style="541" hidden="1" customWidth="1"/>
    <col min="8252" max="8252" width="10.125" style="541" customWidth="1"/>
    <col min="8253" max="8253" width="8" style="541" customWidth="1"/>
    <col min="8254" max="8258" width="9" style="541"/>
    <col min="8259" max="8259" width="8.625" style="541" bestFit="1" customWidth="1"/>
    <col min="8260" max="8448" width="9" style="541"/>
    <col min="8449" max="8449" width="5.125" style="541" customWidth="1"/>
    <col min="8450" max="8450" width="19.625" style="541" customWidth="1"/>
    <col min="8451" max="8452" width="7" style="541" customWidth="1"/>
    <col min="8453" max="8453" width="10.75" style="541" customWidth="1"/>
    <col min="8454" max="8454" width="9.75" style="541" customWidth="1"/>
    <col min="8455" max="8455" width="9.125" style="541" customWidth="1"/>
    <col min="8456" max="8456" width="9.375" style="541" customWidth="1"/>
    <col min="8457" max="8468" width="0" style="541" hidden="1" customWidth="1"/>
    <col min="8469" max="8469" width="8.375" style="541" customWidth="1"/>
    <col min="8470" max="8470" width="9" style="541" customWidth="1"/>
    <col min="8471" max="8471" width="8" style="541" customWidth="1"/>
    <col min="8472" max="8472" width="9.875" style="541" customWidth="1"/>
    <col min="8473" max="8484" width="0" style="541" hidden="1" customWidth="1"/>
    <col min="8485" max="8485" width="9.375" style="541" customWidth="1"/>
    <col min="8486" max="8487" width="9.125" style="541" customWidth="1"/>
    <col min="8488" max="8488" width="9.375" style="541" customWidth="1"/>
    <col min="8489" max="8501" width="0" style="541" hidden="1" customWidth="1"/>
    <col min="8502" max="8502" width="8.875" style="541" customWidth="1"/>
    <col min="8503" max="8503" width="7.25" style="541" customWidth="1"/>
    <col min="8504" max="8504" width="0" style="541" hidden="1" customWidth="1"/>
    <col min="8505" max="8505" width="9.5" style="541" customWidth="1"/>
    <col min="8506" max="8507" width="0" style="541" hidden="1" customWidth="1"/>
    <col min="8508" max="8508" width="10.125" style="541" customWidth="1"/>
    <col min="8509" max="8509" width="8" style="541" customWidth="1"/>
    <col min="8510" max="8514" width="9" style="541"/>
    <col min="8515" max="8515" width="8.625" style="541" bestFit="1" customWidth="1"/>
    <col min="8516" max="8704" width="9" style="541"/>
    <col min="8705" max="8705" width="5.125" style="541" customWidth="1"/>
    <col min="8706" max="8706" width="19.625" style="541" customWidth="1"/>
    <col min="8707" max="8708" width="7" style="541" customWidth="1"/>
    <col min="8709" max="8709" width="10.75" style="541" customWidth="1"/>
    <col min="8710" max="8710" width="9.75" style="541" customWidth="1"/>
    <col min="8711" max="8711" width="9.125" style="541" customWidth="1"/>
    <col min="8712" max="8712" width="9.375" style="541" customWidth="1"/>
    <col min="8713" max="8724" width="0" style="541" hidden="1" customWidth="1"/>
    <col min="8725" max="8725" width="8.375" style="541" customWidth="1"/>
    <col min="8726" max="8726" width="9" style="541" customWidth="1"/>
    <col min="8727" max="8727" width="8" style="541" customWidth="1"/>
    <col min="8728" max="8728" width="9.875" style="541" customWidth="1"/>
    <col min="8729" max="8740" width="0" style="541" hidden="1" customWidth="1"/>
    <col min="8741" max="8741" width="9.375" style="541" customWidth="1"/>
    <col min="8742" max="8743" width="9.125" style="541" customWidth="1"/>
    <col min="8744" max="8744" width="9.375" style="541" customWidth="1"/>
    <col min="8745" max="8757" width="0" style="541" hidden="1" customWidth="1"/>
    <col min="8758" max="8758" width="8.875" style="541" customWidth="1"/>
    <col min="8759" max="8759" width="7.25" style="541" customWidth="1"/>
    <col min="8760" max="8760" width="0" style="541" hidden="1" customWidth="1"/>
    <col min="8761" max="8761" width="9.5" style="541" customWidth="1"/>
    <col min="8762" max="8763" width="0" style="541" hidden="1" customWidth="1"/>
    <col min="8764" max="8764" width="10.125" style="541" customWidth="1"/>
    <col min="8765" max="8765" width="8" style="541" customWidth="1"/>
    <col min="8766" max="8770" width="9" style="541"/>
    <col min="8771" max="8771" width="8.625" style="541" bestFit="1" customWidth="1"/>
    <col min="8772" max="8960" width="9" style="541"/>
    <col min="8961" max="8961" width="5.125" style="541" customWidth="1"/>
    <col min="8962" max="8962" width="19.625" style="541" customWidth="1"/>
    <col min="8963" max="8964" width="7" style="541" customWidth="1"/>
    <col min="8965" max="8965" width="10.75" style="541" customWidth="1"/>
    <col min="8966" max="8966" width="9.75" style="541" customWidth="1"/>
    <col min="8967" max="8967" width="9.125" style="541" customWidth="1"/>
    <col min="8968" max="8968" width="9.375" style="541" customWidth="1"/>
    <col min="8969" max="8980" width="0" style="541" hidden="1" customWidth="1"/>
    <col min="8981" max="8981" width="8.375" style="541" customWidth="1"/>
    <col min="8982" max="8982" width="9" style="541" customWidth="1"/>
    <col min="8983" max="8983" width="8" style="541" customWidth="1"/>
    <col min="8984" max="8984" width="9.875" style="541" customWidth="1"/>
    <col min="8985" max="8996" width="0" style="541" hidden="1" customWidth="1"/>
    <col min="8997" max="8997" width="9.375" style="541" customWidth="1"/>
    <col min="8998" max="8999" width="9.125" style="541" customWidth="1"/>
    <col min="9000" max="9000" width="9.375" style="541" customWidth="1"/>
    <col min="9001" max="9013" width="0" style="541" hidden="1" customWidth="1"/>
    <col min="9014" max="9014" width="8.875" style="541" customWidth="1"/>
    <col min="9015" max="9015" width="7.25" style="541" customWidth="1"/>
    <col min="9016" max="9016" width="0" style="541" hidden="1" customWidth="1"/>
    <col min="9017" max="9017" width="9.5" style="541" customWidth="1"/>
    <col min="9018" max="9019" width="0" style="541" hidden="1" customWidth="1"/>
    <col min="9020" max="9020" width="10.125" style="541" customWidth="1"/>
    <col min="9021" max="9021" width="8" style="541" customWidth="1"/>
    <col min="9022" max="9026" width="9" style="541"/>
    <col min="9027" max="9027" width="8.625" style="541" bestFit="1" customWidth="1"/>
    <col min="9028" max="9216" width="9" style="541"/>
    <col min="9217" max="9217" width="5.125" style="541" customWidth="1"/>
    <col min="9218" max="9218" width="19.625" style="541" customWidth="1"/>
    <col min="9219" max="9220" width="7" style="541" customWidth="1"/>
    <col min="9221" max="9221" width="10.75" style="541" customWidth="1"/>
    <col min="9222" max="9222" width="9.75" style="541" customWidth="1"/>
    <col min="9223" max="9223" width="9.125" style="541" customWidth="1"/>
    <col min="9224" max="9224" width="9.375" style="541" customWidth="1"/>
    <col min="9225" max="9236" width="0" style="541" hidden="1" customWidth="1"/>
    <col min="9237" max="9237" width="8.375" style="541" customWidth="1"/>
    <col min="9238" max="9238" width="9" style="541" customWidth="1"/>
    <col min="9239" max="9239" width="8" style="541" customWidth="1"/>
    <col min="9240" max="9240" width="9.875" style="541" customWidth="1"/>
    <col min="9241" max="9252" width="0" style="541" hidden="1" customWidth="1"/>
    <col min="9253" max="9253" width="9.375" style="541" customWidth="1"/>
    <col min="9254" max="9255" width="9.125" style="541" customWidth="1"/>
    <col min="9256" max="9256" width="9.375" style="541" customWidth="1"/>
    <col min="9257" max="9269" width="0" style="541" hidden="1" customWidth="1"/>
    <col min="9270" max="9270" width="8.875" style="541" customWidth="1"/>
    <col min="9271" max="9271" width="7.25" style="541" customWidth="1"/>
    <col min="9272" max="9272" width="0" style="541" hidden="1" customWidth="1"/>
    <col min="9273" max="9273" width="9.5" style="541" customWidth="1"/>
    <col min="9274" max="9275" width="0" style="541" hidden="1" customWidth="1"/>
    <col min="9276" max="9276" width="10.125" style="541" customWidth="1"/>
    <col min="9277" max="9277" width="8" style="541" customWidth="1"/>
    <col min="9278" max="9282" width="9" style="541"/>
    <col min="9283" max="9283" width="8.625" style="541" bestFit="1" customWidth="1"/>
    <col min="9284" max="9472" width="9" style="541"/>
    <col min="9473" max="9473" width="5.125" style="541" customWidth="1"/>
    <col min="9474" max="9474" width="19.625" style="541" customWidth="1"/>
    <col min="9475" max="9476" width="7" style="541" customWidth="1"/>
    <col min="9477" max="9477" width="10.75" style="541" customWidth="1"/>
    <col min="9478" max="9478" width="9.75" style="541" customWidth="1"/>
    <col min="9479" max="9479" width="9.125" style="541" customWidth="1"/>
    <col min="9480" max="9480" width="9.375" style="541" customWidth="1"/>
    <col min="9481" max="9492" width="0" style="541" hidden="1" customWidth="1"/>
    <col min="9493" max="9493" width="8.375" style="541" customWidth="1"/>
    <col min="9494" max="9494" width="9" style="541" customWidth="1"/>
    <col min="9495" max="9495" width="8" style="541" customWidth="1"/>
    <col min="9496" max="9496" width="9.875" style="541" customWidth="1"/>
    <col min="9497" max="9508" width="0" style="541" hidden="1" customWidth="1"/>
    <col min="9509" max="9509" width="9.375" style="541" customWidth="1"/>
    <col min="9510" max="9511" width="9.125" style="541" customWidth="1"/>
    <col min="9512" max="9512" width="9.375" style="541" customWidth="1"/>
    <col min="9513" max="9525" width="0" style="541" hidden="1" customWidth="1"/>
    <col min="9526" max="9526" width="8.875" style="541" customWidth="1"/>
    <col min="9527" max="9527" width="7.25" style="541" customWidth="1"/>
    <col min="9528" max="9528" width="0" style="541" hidden="1" customWidth="1"/>
    <col min="9529" max="9529" width="9.5" style="541" customWidth="1"/>
    <col min="9530" max="9531" width="0" style="541" hidden="1" customWidth="1"/>
    <col min="9532" max="9532" width="10.125" style="541" customWidth="1"/>
    <col min="9533" max="9533" width="8" style="541" customWidth="1"/>
    <col min="9534" max="9538" width="9" style="541"/>
    <col min="9539" max="9539" width="8.625" style="541" bestFit="1" customWidth="1"/>
    <col min="9540" max="9728" width="9" style="541"/>
    <col min="9729" max="9729" width="5.125" style="541" customWidth="1"/>
    <col min="9730" max="9730" width="19.625" style="541" customWidth="1"/>
    <col min="9731" max="9732" width="7" style="541" customWidth="1"/>
    <col min="9733" max="9733" width="10.75" style="541" customWidth="1"/>
    <col min="9734" max="9734" width="9.75" style="541" customWidth="1"/>
    <col min="9735" max="9735" width="9.125" style="541" customWidth="1"/>
    <col min="9736" max="9736" width="9.375" style="541" customWidth="1"/>
    <col min="9737" max="9748" width="0" style="541" hidden="1" customWidth="1"/>
    <col min="9749" max="9749" width="8.375" style="541" customWidth="1"/>
    <col min="9750" max="9750" width="9" style="541" customWidth="1"/>
    <col min="9751" max="9751" width="8" style="541" customWidth="1"/>
    <col min="9752" max="9752" width="9.875" style="541" customWidth="1"/>
    <col min="9753" max="9764" width="0" style="541" hidden="1" customWidth="1"/>
    <col min="9765" max="9765" width="9.375" style="541" customWidth="1"/>
    <col min="9766" max="9767" width="9.125" style="541" customWidth="1"/>
    <col min="9768" max="9768" width="9.375" style="541" customWidth="1"/>
    <col min="9769" max="9781" width="0" style="541" hidden="1" customWidth="1"/>
    <col min="9782" max="9782" width="8.875" style="541" customWidth="1"/>
    <col min="9783" max="9783" width="7.25" style="541" customWidth="1"/>
    <col min="9784" max="9784" width="0" style="541" hidden="1" customWidth="1"/>
    <col min="9785" max="9785" width="9.5" style="541" customWidth="1"/>
    <col min="9786" max="9787" width="0" style="541" hidden="1" customWidth="1"/>
    <col min="9788" max="9788" width="10.125" style="541" customWidth="1"/>
    <col min="9789" max="9789" width="8" style="541" customWidth="1"/>
    <col min="9790" max="9794" width="9" style="541"/>
    <col min="9795" max="9795" width="8.625" style="541" bestFit="1" customWidth="1"/>
    <col min="9796" max="9984" width="9" style="541"/>
    <col min="9985" max="9985" width="5.125" style="541" customWidth="1"/>
    <col min="9986" max="9986" width="19.625" style="541" customWidth="1"/>
    <col min="9987" max="9988" width="7" style="541" customWidth="1"/>
    <col min="9989" max="9989" width="10.75" style="541" customWidth="1"/>
    <col min="9990" max="9990" width="9.75" style="541" customWidth="1"/>
    <col min="9991" max="9991" width="9.125" style="541" customWidth="1"/>
    <col min="9992" max="9992" width="9.375" style="541" customWidth="1"/>
    <col min="9993" max="10004" width="0" style="541" hidden="1" customWidth="1"/>
    <col min="10005" max="10005" width="8.375" style="541" customWidth="1"/>
    <col min="10006" max="10006" width="9" style="541" customWidth="1"/>
    <col min="10007" max="10007" width="8" style="541" customWidth="1"/>
    <col min="10008" max="10008" width="9.875" style="541" customWidth="1"/>
    <col min="10009" max="10020" width="0" style="541" hidden="1" customWidth="1"/>
    <col min="10021" max="10021" width="9.375" style="541" customWidth="1"/>
    <col min="10022" max="10023" width="9.125" style="541" customWidth="1"/>
    <col min="10024" max="10024" width="9.375" style="541" customWidth="1"/>
    <col min="10025" max="10037" width="0" style="541" hidden="1" customWidth="1"/>
    <col min="10038" max="10038" width="8.875" style="541" customWidth="1"/>
    <col min="10039" max="10039" width="7.25" style="541" customWidth="1"/>
    <col min="10040" max="10040" width="0" style="541" hidden="1" customWidth="1"/>
    <col min="10041" max="10041" width="9.5" style="541" customWidth="1"/>
    <col min="10042" max="10043" width="0" style="541" hidden="1" customWidth="1"/>
    <col min="10044" max="10044" width="10.125" style="541" customWidth="1"/>
    <col min="10045" max="10045" width="8" style="541" customWidth="1"/>
    <col min="10046" max="10050" width="9" style="541"/>
    <col min="10051" max="10051" width="8.625" style="541" bestFit="1" customWidth="1"/>
    <col min="10052" max="10240" width="9" style="541"/>
    <col min="10241" max="10241" width="5.125" style="541" customWidth="1"/>
    <col min="10242" max="10242" width="19.625" style="541" customWidth="1"/>
    <col min="10243" max="10244" width="7" style="541" customWidth="1"/>
    <col min="10245" max="10245" width="10.75" style="541" customWidth="1"/>
    <col min="10246" max="10246" width="9.75" style="541" customWidth="1"/>
    <col min="10247" max="10247" width="9.125" style="541" customWidth="1"/>
    <col min="10248" max="10248" width="9.375" style="541" customWidth="1"/>
    <col min="10249" max="10260" width="0" style="541" hidden="1" customWidth="1"/>
    <col min="10261" max="10261" width="8.375" style="541" customWidth="1"/>
    <col min="10262" max="10262" width="9" style="541" customWidth="1"/>
    <col min="10263" max="10263" width="8" style="541" customWidth="1"/>
    <col min="10264" max="10264" width="9.875" style="541" customWidth="1"/>
    <col min="10265" max="10276" width="0" style="541" hidden="1" customWidth="1"/>
    <col min="10277" max="10277" width="9.375" style="541" customWidth="1"/>
    <col min="10278" max="10279" width="9.125" style="541" customWidth="1"/>
    <col min="10280" max="10280" width="9.375" style="541" customWidth="1"/>
    <col min="10281" max="10293" width="0" style="541" hidden="1" customWidth="1"/>
    <col min="10294" max="10294" width="8.875" style="541" customWidth="1"/>
    <col min="10295" max="10295" width="7.25" style="541" customWidth="1"/>
    <col min="10296" max="10296" width="0" style="541" hidden="1" customWidth="1"/>
    <col min="10297" max="10297" width="9.5" style="541" customWidth="1"/>
    <col min="10298" max="10299" width="0" style="541" hidden="1" customWidth="1"/>
    <col min="10300" max="10300" width="10.125" style="541" customWidth="1"/>
    <col min="10301" max="10301" width="8" style="541" customWidth="1"/>
    <col min="10302" max="10306" width="9" style="541"/>
    <col min="10307" max="10307" width="8.625" style="541" bestFit="1" customWidth="1"/>
    <col min="10308" max="10496" width="9" style="541"/>
    <col min="10497" max="10497" width="5.125" style="541" customWidth="1"/>
    <col min="10498" max="10498" width="19.625" style="541" customWidth="1"/>
    <col min="10499" max="10500" width="7" style="541" customWidth="1"/>
    <col min="10501" max="10501" width="10.75" style="541" customWidth="1"/>
    <col min="10502" max="10502" width="9.75" style="541" customWidth="1"/>
    <col min="10503" max="10503" width="9.125" style="541" customWidth="1"/>
    <col min="10504" max="10504" width="9.375" style="541" customWidth="1"/>
    <col min="10505" max="10516" width="0" style="541" hidden="1" customWidth="1"/>
    <col min="10517" max="10517" width="8.375" style="541" customWidth="1"/>
    <col min="10518" max="10518" width="9" style="541" customWidth="1"/>
    <col min="10519" max="10519" width="8" style="541" customWidth="1"/>
    <col min="10520" max="10520" width="9.875" style="541" customWidth="1"/>
    <col min="10521" max="10532" width="0" style="541" hidden="1" customWidth="1"/>
    <col min="10533" max="10533" width="9.375" style="541" customWidth="1"/>
    <col min="10534" max="10535" width="9.125" style="541" customWidth="1"/>
    <col min="10536" max="10536" width="9.375" style="541" customWidth="1"/>
    <col min="10537" max="10549" width="0" style="541" hidden="1" customWidth="1"/>
    <col min="10550" max="10550" width="8.875" style="541" customWidth="1"/>
    <col min="10551" max="10551" width="7.25" style="541" customWidth="1"/>
    <col min="10552" max="10552" width="0" style="541" hidden="1" customWidth="1"/>
    <col min="10553" max="10553" width="9.5" style="541" customWidth="1"/>
    <col min="10554" max="10555" width="0" style="541" hidden="1" customWidth="1"/>
    <col min="10556" max="10556" width="10.125" style="541" customWidth="1"/>
    <col min="10557" max="10557" width="8" style="541" customWidth="1"/>
    <col min="10558" max="10562" width="9" style="541"/>
    <col min="10563" max="10563" width="8.625" style="541" bestFit="1" customWidth="1"/>
    <col min="10564" max="10752" width="9" style="541"/>
    <col min="10753" max="10753" width="5.125" style="541" customWidth="1"/>
    <col min="10754" max="10754" width="19.625" style="541" customWidth="1"/>
    <col min="10755" max="10756" width="7" style="541" customWidth="1"/>
    <col min="10757" max="10757" width="10.75" style="541" customWidth="1"/>
    <col min="10758" max="10758" width="9.75" style="541" customWidth="1"/>
    <col min="10759" max="10759" width="9.125" style="541" customWidth="1"/>
    <col min="10760" max="10760" width="9.375" style="541" customWidth="1"/>
    <col min="10761" max="10772" width="0" style="541" hidden="1" customWidth="1"/>
    <col min="10773" max="10773" width="8.375" style="541" customWidth="1"/>
    <col min="10774" max="10774" width="9" style="541" customWidth="1"/>
    <col min="10775" max="10775" width="8" style="541" customWidth="1"/>
    <col min="10776" max="10776" width="9.875" style="541" customWidth="1"/>
    <col min="10777" max="10788" width="0" style="541" hidden="1" customWidth="1"/>
    <col min="10789" max="10789" width="9.375" style="541" customWidth="1"/>
    <col min="10790" max="10791" width="9.125" style="541" customWidth="1"/>
    <col min="10792" max="10792" width="9.375" style="541" customWidth="1"/>
    <col min="10793" max="10805" width="0" style="541" hidden="1" customWidth="1"/>
    <col min="10806" max="10806" width="8.875" style="541" customWidth="1"/>
    <col min="10807" max="10807" width="7.25" style="541" customWidth="1"/>
    <col min="10808" max="10808" width="0" style="541" hidden="1" customWidth="1"/>
    <col min="10809" max="10809" width="9.5" style="541" customWidth="1"/>
    <col min="10810" max="10811" width="0" style="541" hidden="1" customWidth="1"/>
    <col min="10812" max="10812" width="10.125" style="541" customWidth="1"/>
    <col min="10813" max="10813" width="8" style="541" customWidth="1"/>
    <col min="10814" max="10818" width="9" style="541"/>
    <col min="10819" max="10819" width="8.625" style="541" bestFit="1" customWidth="1"/>
    <col min="10820" max="11008" width="9" style="541"/>
    <col min="11009" max="11009" width="5.125" style="541" customWidth="1"/>
    <col min="11010" max="11010" width="19.625" style="541" customWidth="1"/>
    <col min="11011" max="11012" width="7" style="541" customWidth="1"/>
    <col min="11013" max="11013" width="10.75" style="541" customWidth="1"/>
    <col min="11014" max="11014" width="9.75" style="541" customWidth="1"/>
    <col min="11015" max="11015" width="9.125" style="541" customWidth="1"/>
    <col min="11016" max="11016" width="9.375" style="541" customWidth="1"/>
    <col min="11017" max="11028" width="0" style="541" hidden="1" customWidth="1"/>
    <col min="11029" max="11029" width="8.375" style="541" customWidth="1"/>
    <col min="11030" max="11030" width="9" style="541" customWidth="1"/>
    <col min="11031" max="11031" width="8" style="541" customWidth="1"/>
    <col min="11032" max="11032" width="9.875" style="541" customWidth="1"/>
    <col min="11033" max="11044" width="0" style="541" hidden="1" customWidth="1"/>
    <col min="11045" max="11045" width="9.375" style="541" customWidth="1"/>
    <col min="11046" max="11047" width="9.125" style="541" customWidth="1"/>
    <col min="11048" max="11048" width="9.375" style="541" customWidth="1"/>
    <col min="11049" max="11061" width="0" style="541" hidden="1" customWidth="1"/>
    <col min="11062" max="11062" width="8.875" style="541" customWidth="1"/>
    <col min="11063" max="11063" width="7.25" style="541" customWidth="1"/>
    <col min="11064" max="11064" width="0" style="541" hidden="1" customWidth="1"/>
    <col min="11065" max="11065" width="9.5" style="541" customWidth="1"/>
    <col min="11066" max="11067" width="0" style="541" hidden="1" customWidth="1"/>
    <col min="11068" max="11068" width="10.125" style="541" customWidth="1"/>
    <col min="11069" max="11069" width="8" style="541" customWidth="1"/>
    <col min="11070" max="11074" width="9" style="541"/>
    <col min="11075" max="11075" width="8.625" style="541" bestFit="1" customWidth="1"/>
    <col min="11076" max="11264" width="9" style="541"/>
    <col min="11265" max="11265" width="5.125" style="541" customWidth="1"/>
    <col min="11266" max="11266" width="19.625" style="541" customWidth="1"/>
    <col min="11267" max="11268" width="7" style="541" customWidth="1"/>
    <col min="11269" max="11269" width="10.75" style="541" customWidth="1"/>
    <col min="11270" max="11270" width="9.75" style="541" customWidth="1"/>
    <col min="11271" max="11271" width="9.125" style="541" customWidth="1"/>
    <col min="11272" max="11272" width="9.375" style="541" customWidth="1"/>
    <col min="11273" max="11284" width="0" style="541" hidden="1" customWidth="1"/>
    <col min="11285" max="11285" width="8.375" style="541" customWidth="1"/>
    <col min="11286" max="11286" width="9" style="541" customWidth="1"/>
    <col min="11287" max="11287" width="8" style="541" customWidth="1"/>
    <col min="11288" max="11288" width="9.875" style="541" customWidth="1"/>
    <col min="11289" max="11300" width="0" style="541" hidden="1" customWidth="1"/>
    <col min="11301" max="11301" width="9.375" style="541" customWidth="1"/>
    <col min="11302" max="11303" width="9.125" style="541" customWidth="1"/>
    <col min="11304" max="11304" width="9.375" style="541" customWidth="1"/>
    <col min="11305" max="11317" width="0" style="541" hidden="1" customWidth="1"/>
    <col min="11318" max="11318" width="8.875" style="541" customWidth="1"/>
    <col min="11319" max="11319" width="7.25" style="541" customWidth="1"/>
    <col min="11320" max="11320" width="0" style="541" hidden="1" customWidth="1"/>
    <col min="11321" max="11321" width="9.5" style="541" customWidth="1"/>
    <col min="11322" max="11323" width="0" style="541" hidden="1" customWidth="1"/>
    <col min="11324" max="11324" width="10.125" style="541" customWidth="1"/>
    <col min="11325" max="11325" width="8" style="541" customWidth="1"/>
    <col min="11326" max="11330" width="9" style="541"/>
    <col min="11331" max="11331" width="8.625" style="541" bestFit="1" customWidth="1"/>
    <col min="11332" max="11520" width="9" style="541"/>
    <col min="11521" max="11521" width="5.125" style="541" customWidth="1"/>
    <col min="11522" max="11522" width="19.625" style="541" customWidth="1"/>
    <col min="11523" max="11524" width="7" style="541" customWidth="1"/>
    <col min="11525" max="11525" width="10.75" style="541" customWidth="1"/>
    <col min="11526" max="11526" width="9.75" style="541" customWidth="1"/>
    <col min="11527" max="11527" width="9.125" style="541" customWidth="1"/>
    <col min="11528" max="11528" width="9.375" style="541" customWidth="1"/>
    <col min="11529" max="11540" width="0" style="541" hidden="1" customWidth="1"/>
    <col min="11541" max="11541" width="8.375" style="541" customWidth="1"/>
    <col min="11542" max="11542" width="9" style="541" customWidth="1"/>
    <col min="11543" max="11543" width="8" style="541" customWidth="1"/>
    <col min="11544" max="11544" width="9.875" style="541" customWidth="1"/>
    <col min="11545" max="11556" width="0" style="541" hidden="1" customWidth="1"/>
    <col min="11557" max="11557" width="9.375" style="541" customWidth="1"/>
    <col min="11558" max="11559" width="9.125" style="541" customWidth="1"/>
    <col min="11560" max="11560" width="9.375" style="541" customWidth="1"/>
    <col min="11561" max="11573" width="0" style="541" hidden="1" customWidth="1"/>
    <col min="11574" max="11574" width="8.875" style="541" customWidth="1"/>
    <col min="11575" max="11575" width="7.25" style="541" customWidth="1"/>
    <col min="11576" max="11576" width="0" style="541" hidden="1" customWidth="1"/>
    <col min="11577" max="11577" width="9.5" style="541" customWidth="1"/>
    <col min="11578" max="11579" width="0" style="541" hidden="1" customWidth="1"/>
    <col min="11580" max="11580" width="10.125" style="541" customWidth="1"/>
    <col min="11581" max="11581" width="8" style="541" customWidth="1"/>
    <col min="11582" max="11586" width="9" style="541"/>
    <col min="11587" max="11587" width="8.625" style="541" bestFit="1" customWidth="1"/>
    <col min="11588" max="11776" width="9" style="541"/>
    <col min="11777" max="11777" width="5.125" style="541" customWidth="1"/>
    <col min="11778" max="11778" width="19.625" style="541" customWidth="1"/>
    <col min="11779" max="11780" width="7" style="541" customWidth="1"/>
    <col min="11781" max="11781" width="10.75" style="541" customWidth="1"/>
    <col min="11782" max="11782" width="9.75" style="541" customWidth="1"/>
    <col min="11783" max="11783" width="9.125" style="541" customWidth="1"/>
    <col min="11784" max="11784" width="9.375" style="541" customWidth="1"/>
    <col min="11785" max="11796" width="0" style="541" hidden="1" customWidth="1"/>
    <col min="11797" max="11797" width="8.375" style="541" customWidth="1"/>
    <col min="11798" max="11798" width="9" style="541" customWidth="1"/>
    <col min="11799" max="11799" width="8" style="541" customWidth="1"/>
    <col min="11800" max="11800" width="9.875" style="541" customWidth="1"/>
    <col min="11801" max="11812" width="0" style="541" hidden="1" customWidth="1"/>
    <col min="11813" max="11813" width="9.375" style="541" customWidth="1"/>
    <col min="11814" max="11815" width="9.125" style="541" customWidth="1"/>
    <col min="11816" max="11816" width="9.375" style="541" customWidth="1"/>
    <col min="11817" max="11829" width="0" style="541" hidden="1" customWidth="1"/>
    <col min="11830" max="11830" width="8.875" style="541" customWidth="1"/>
    <col min="11831" max="11831" width="7.25" style="541" customWidth="1"/>
    <col min="11832" max="11832" width="0" style="541" hidden="1" customWidth="1"/>
    <col min="11833" max="11833" width="9.5" style="541" customWidth="1"/>
    <col min="11834" max="11835" width="0" style="541" hidden="1" customWidth="1"/>
    <col min="11836" max="11836" width="10.125" style="541" customWidth="1"/>
    <col min="11837" max="11837" width="8" style="541" customWidth="1"/>
    <col min="11838" max="11842" width="9" style="541"/>
    <col min="11843" max="11843" width="8.625" style="541" bestFit="1" customWidth="1"/>
    <col min="11844" max="12032" width="9" style="541"/>
    <col min="12033" max="12033" width="5.125" style="541" customWidth="1"/>
    <col min="12034" max="12034" width="19.625" style="541" customWidth="1"/>
    <col min="12035" max="12036" width="7" style="541" customWidth="1"/>
    <col min="12037" max="12037" width="10.75" style="541" customWidth="1"/>
    <col min="12038" max="12038" width="9.75" style="541" customWidth="1"/>
    <col min="12039" max="12039" width="9.125" style="541" customWidth="1"/>
    <col min="12040" max="12040" width="9.375" style="541" customWidth="1"/>
    <col min="12041" max="12052" width="0" style="541" hidden="1" customWidth="1"/>
    <col min="12053" max="12053" width="8.375" style="541" customWidth="1"/>
    <col min="12054" max="12054" width="9" style="541" customWidth="1"/>
    <col min="12055" max="12055" width="8" style="541" customWidth="1"/>
    <col min="12056" max="12056" width="9.875" style="541" customWidth="1"/>
    <col min="12057" max="12068" width="0" style="541" hidden="1" customWidth="1"/>
    <col min="12069" max="12069" width="9.375" style="541" customWidth="1"/>
    <col min="12070" max="12071" width="9.125" style="541" customWidth="1"/>
    <col min="12072" max="12072" width="9.375" style="541" customWidth="1"/>
    <col min="12073" max="12085" width="0" style="541" hidden="1" customWidth="1"/>
    <col min="12086" max="12086" width="8.875" style="541" customWidth="1"/>
    <col min="12087" max="12087" width="7.25" style="541" customWidth="1"/>
    <col min="12088" max="12088" width="0" style="541" hidden="1" customWidth="1"/>
    <col min="12089" max="12089" width="9.5" style="541" customWidth="1"/>
    <col min="12090" max="12091" width="0" style="541" hidden="1" customWidth="1"/>
    <col min="12092" max="12092" width="10.125" style="541" customWidth="1"/>
    <col min="12093" max="12093" width="8" style="541" customWidth="1"/>
    <col min="12094" max="12098" width="9" style="541"/>
    <col min="12099" max="12099" width="8.625" style="541" bestFit="1" customWidth="1"/>
    <col min="12100" max="12288" width="9" style="541"/>
    <col min="12289" max="12289" width="5.125" style="541" customWidth="1"/>
    <col min="12290" max="12290" width="19.625" style="541" customWidth="1"/>
    <col min="12291" max="12292" width="7" style="541" customWidth="1"/>
    <col min="12293" max="12293" width="10.75" style="541" customWidth="1"/>
    <col min="12294" max="12294" width="9.75" style="541" customWidth="1"/>
    <col min="12295" max="12295" width="9.125" style="541" customWidth="1"/>
    <col min="12296" max="12296" width="9.375" style="541" customWidth="1"/>
    <col min="12297" max="12308" width="0" style="541" hidden="1" customWidth="1"/>
    <col min="12309" max="12309" width="8.375" style="541" customWidth="1"/>
    <col min="12310" max="12310" width="9" style="541" customWidth="1"/>
    <col min="12311" max="12311" width="8" style="541" customWidth="1"/>
    <col min="12312" max="12312" width="9.875" style="541" customWidth="1"/>
    <col min="12313" max="12324" width="0" style="541" hidden="1" customWidth="1"/>
    <col min="12325" max="12325" width="9.375" style="541" customWidth="1"/>
    <col min="12326" max="12327" width="9.125" style="541" customWidth="1"/>
    <col min="12328" max="12328" width="9.375" style="541" customWidth="1"/>
    <col min="12329" max="12341" width="0" style="541" hidden="1" customWidth="1"/>
    <col min="12342" max="12342" width="8.875" style="541" customWidth="1"/>
    <col min="12343" max="12343" width="7.25" style="541" customWidth="1"/>
    <col min="12344" max="12344" width="0" style="541" hidden="1" customWidth="1"/>
    <col min="12345" max="12345" width="9.5" style="541" customWidth="1"/>
    <col min="12346" max="12347" width="0" style="541" hidden="1" customWidth="1"/>
    <col min="12348" max="12348" width="10.125" style="541" customWidth="1"/>
    <col min="12349" max="12349" width="8" style="541" customWidth="1"/>
    <col min="12350" max="12354" width="9" style="541"/>
    <col min="12355" max="12355" width="8.625" style="541" bestFit="1" customWidth="1"/>
    <col min="12356" max="12544" width="9" style="541"/>
    <col min="12545" max="12545" width="5.125" style="541" customWidth="1"/>
    <col min="12546" max="12546" width="19.625" style="541" customWidth="1"/>
    <col min="12547" max="12548" width="7" style="541" customWidth="1"/>
    <col min="12549" max="12549" width="10.75" style="541" customWidth="1"/>
    <col min="12550" max="12550" width="9.75" style="541" customWidth="1"/>
    <col min="12551" max="12551" width="9.125" style="541" customWidth="1"/>
    <col min="12552" max="12552" width="9.375" style="541" customWidth="1"/>
    <col min="12553" max="12564" width="0" style="541" hidden="1" customWidth="1"/>
    <col min="12565" max="12565" width="8.375" style="541" customWidth="1"/>
    <col min="12566" max="12566" width="9" style="541" customWidth="1"/>
    <col min="12567" max="12567" width="8" style="541" customWidth="1"/>
    <col min="12568" max="12568" width="9.875" style="541" customWidth="1"/>
    <col min="12569" max="12580" width="0" style="541" hidden="1" customWidth="1"/>
    <col min="12581" max="12581" width="9.375" style="541" customWidth="1"/>
    <col min="12582" max="12583" width="9.125" style="541" customWidth="1"/>
    <col min="12584" max="12584" width="9.375" style="541" customWidth="1"/>
    <col min="12585" max="12597" width="0" style="541" hidden="1" customWidth="1"/>
    <col min="12598" max="12598" width="8.875" style="541" customWidth="1"/>
    <col min="12599" max="12599" width="7.25" style="541" customWidth="1"/>
    <col min="12600" max="12600" width="0" style="541" hidden="1" customWidth="1"/>
    <col min="12601" max="12601" width="9.5" style="541" customWidth="1"/>
    <col min="12602" max="12603" width="0" style="541" hidden="1" customWidth="1"/>
    <col min="12604" max="12604" width="10.125" style="541" customWidth="1"/>
    <col min="12605" max="12605" width="8" style="541" customWidth="1"/>
    <col min="12606" max="12610" width="9" style="541"/>
    <col min="12611" max="12611" width="8.625" style="541" bestFit="1" customWidth="1"/>
    <col min="12612" max="12800" width="9" style="541"/>
    <col min="12801" max="12801" width="5.125" style="541" customWidth="1"/>
    <col min="12802" max="12802" width="19.625" style="541" customWidth="1"/>
    <col min="12803" max="12804" width="7" style="541" customWidth="1"/>
    <col min="12805" max="12805" width="10.75" style="541" customWidth="1"/>
    <col min="12806" max="12806" width="9.75" style="541" customWidth="1"/>
    <col min="12807" max="12807" width="9.125" style="541" customWidth="1"/>
    <col min="12808" max="12808" width="9.375" style="541" customWidth="1"/>
    <col min="12809" max="12820" width="0" style="541" hidden="1" customWidth="1"/>
    <col min="12821" max="12821" width="8.375" style="541" customWidth="1"/>
    <col min="12822" max="12822" width="9" style="541" customWidth="1"/>
    <col min="12823" max="12823" width="8" style="541" customWidth="1"/>
    <col min="12824" max="12824" width="9.875" style="541" customWidth="1"/>
    <col min="12825" max="12836" width="0" style="541" hidden="1" customWidth="1"/>
    <col min="12837" max="12837" width="9.375" style="541" customWidth="1"/>
    <col min="12838" max="12839" width="9.125" style="541" customWidth="1"/>
    <col min="12840" max="12840" width="9.375" style="541" customWidth="1"/>
    <col min="12841" max="12853" width="0" style="541" hidden="1" customWidth="1"/>
    <col min="12854" max="12854" width="8.875" style="541" customWidth="1"/>
    <col min="12855" max="12855" width="7.25" style="541" customWidth="1"/>
    <col min="12856" max="12856" width="0" style="541" hidden="1" customWidth="1"/>
    <col min="12857" max="12857" width="9.5" style="541" customWidth="1"/>
    <col min="12858" max="12859" width="0" style="541" hidden="1" customWidth="1"/>
    <col min="12860" max="12860" width="10.125" style="541" customWidth="1"/>
    <col min="12861" max="12861" width="8" style="541" customWidth="1"/>
    <col min="12862" max="12866" width="9" style="541"/>
    <col min="12867" max="12867" width="8.625" style="541" bestFit="1" customWidth="1"/>
    <col min="12868" max="13056" width="9" style="541"/>
    <col min="13057" max="13057" width="5.125" style="541" customWidth="1"/>
    <col min="13058" max="13058" width="19.625" style="541" customWidth="1"/>
    <col min="13059" max="13060" width="7" style="541" customWidth="1"/>
    <col min="13061" max="13061" width="10.75" style="541" customWidth="1"/>
    <col min="13062" max="13062" width="9.75" style="541" customWidth="1"/>
    <col min="13063" max="13063" width="9.125" style="541" customWidth="1"/>
    <col min="13064" max="13064" width="9.375" style="541" customWidth="1"/>
    <col min="13065" max="13076" width="0" style="541" hidden="1" customWidth="1"/>
    <col min="13077" max="13077" width="8.375" style="541" customWidth="1"/>
    <col min="13078" max="13078" width="9" style="541" customWidth="1"/>
    <col min="13079" max="13079" width="8" style="541" customWidth="1"/>
    <col min="13080" max="13080" width="9.875" style="541" customWidth="1"/>
    <col min="13081" max="13092" width="0" style="541" hidden="1" customWidth="1"/>
    <col min="13093" max="13093" width="9.375" style="541" customWidth="1"/>
    <col min="13094" max="13095" width="9.125" style="541" customWidth="1"/>
    <col min="13096" max="13096" width="9.375" style="541" customWidth="1"/>
    <col min="13097" max="13109" width="0" style="541" hidden="1" customWidth="1"/>
    <col min="13110" max="13110" width="8.875" style="541" customWidth="1"/>
    <col min="13111" max="13111" width="7.25" style="541" customWidth="1"/>
    <col min="13112" max="13112" width="0" style="541" hidden="1" customWidth="1"/>
    <col min="13113" max="13113" width="9.5" style="541" customWidth="1"/>
    <col min="13114" max="13115" width="0" style="541" hidden="1" customWidth="1"/>
    <col min="13116" max="13116" width="10.125" style="541" customWidth="1"/>
    <col min="13117" max="13117" width="8" style="541" customWidth="1"/>
    <col min="13118" max="13122" width="9" style="541"/>
    <col min="13123" max="13123" width="8.625" style="541" bestFit="1" customWidth="1"/>
    <col min="13124" max="13312" width="9" style="541"/>
    <col min="13313" max="13313" width="5.125" style="541" customWidth="1"/>
    <col min="13314" max="13314" width="19.625" style="541" customWidth="1"/>
    <col min="13315" max="13316" width="7" style="541" customWidth="1"/>
    <col min="13317" max="13317" width="10.75" style="541" customWidth="1"/>
    <col min="13318" max="13318" width="9.75" style="541" customWidth="1"/>
    <col min="13319" max="13319" width="9.125" style="541" customWidth="1"/>
    <col min="13320" max="13320" width="9.375" style="541" customWidth="1"/>
    <col min="13321" max="13332" width="0" style="541" hidden="1" customWidth="1"/>
    <col min="13333" max="13333" width="8.375" style="541" customWidth="1"/>
    <col min="13334" max="13334" width="9" style="541" customWidth="1"/>
    <col min="13335" max="13335" width="8" style="541" customWidth="1"/>
    <col min="13336" max="13336" width="9.875" style="541" customWidth="1"/>
    <col min="13337" max="13348" width="0" style="541" hidden="1" customWidth="1"/>
    <col min="13349" max="13349" width="9.375" style="541" customWidth="1"/>
    <col min="13350" max="13351" width="9.125" style="541" customWidth="1"/>
    <col min="13352" max="13352" width="9.375" style="541" customWidth="1"/>
    <col min="13353" max="13365" width="0" style="541" hidden="1" customWidth="1"/>
    <col min="13366" max="13366" width="8.875" style="541" customWidth="1"/>
    <col min="13367" max="13367" width="7.25" style="541" customWidth="1"/>
    <col min="13368" max="13368" width="0" style="541" hidden="1" customWidth="1"/>
    <col min="13369" max="13369" width="9.5" style="541" customWidth="1"/>
    <col min="13370" max="13371" width="0" style="541" hidden="1" customWidth="1"/>
    <col min="13372" max="13372" width="10.125" style="541" customWidth="1"/>
    <col min="13373" max="13373" width="8" style="541" customWidth="1"/>
    <col min="13374" max="13378" width="9" style="541"/>
    <col min="13379" max="13379" width="8.625" style="541" bestFit="1" customWidth="1"/>
    <col min="13380" max="13568" width="9" style="541"/>
    <col min="13569" max="13569" width="5.125" style="541" customWidth="1"/>
    <col min="13570" max="13570" width="19.625" style="541" customWidth="1"/>
    <col min="13571" max="13572" width="7" style="541" customWidth="1"/>
    <col min="13573" max="13573" width="10.75" style="541" customWidth="1"/>
    <col min="13574" max="13574" width="9.75" style="541" customWidth="1"/>
    <col min="13575" max="13575" width="9.125" style="541" customWidth="1"/>
    <col min="13576" max="13576" width="9.375" style="541" customWidth="1"/>
    <col min="13577" max="13588" width="0" style="541" hidden="1" customWidth="1"/>
    <col min="13589" max="13589" width="8.375" style="541" customWidth="1"/>
    <col min="13590" max="13590" width="9" style="541" customWidth="1"/>
    <col min="13591" max="13591" width="8" style="541" customWidth="1"/>
    <col min="13592" max="13592" width="9.875" style="541" customWidth="1"/>
    <col min="13593" max="13604" width="0" style="541" hidden="1" customWidth="1"/>
    <col min="13605" max="13605" width="9.375" style="541" customWidth="1"/>
    <col min="13606" max="13607" width="9.125" style="541" customWidth="1"/>
    <col min="13608" max="13608" width="9.375" style="541" customWidth="1"/>
    <col min="13609" max="13621" width="0" style="541" hidden="1" customWidth="1"/>
    <col min="13622" max="13622" width="8.875" style="541" customWidth="1"/>
    <col min="13623" max="13623" width="7.25" style="541" customWidth="1"/>
    <col min="13624" max="13624" width="0" style="541" hidden="1" customWidth="1"/>
    <col min="13625" max="13625" width="9.5" style="541" customWidth="1"/>
    <col min="13626" max="13627" width="0" style="541" hidden="1" customWidth="1"/>
    <col min="13628" max="13628" width="10.125" style="541" customWidth="1"/>
    <col min="13629" max="13629" width="8" style="541" customWidth="1"/>
    <col min="13630" max="13634" width="9" style="541"/>
    <col min="13635" max="13635" width="8.625" style="541" bestFit="1" customWidth="1"/>
    <col min="13636" max="13824" width="9" style="541"/>
    <col min="13825" max="13825" width="5.125" style="541" customWidth="1"/>
    <col min="13826" max="13826" width="19.625" style="541" customWidth="1"/>
    <col min="13827" max="13828" width="7" style="541" customWidth="1"/>
    <col min="13829" max="13829" width="10.75" style="541" customWidth="1"/>
    <col min="13830" max="13830" width="9.75" style="541" customWidth="1"/>
    <col min="13831" max="13831" width="9.125" style="541" customWidth="1"/>
    <col min="13832" max="13832" width="9.375" style="541" customWidth="1"/>
    <col min="13833" max="13844" width="0" style="541" hidden="1" customWidth="1"/>
    <col min="13845" max="13845" width="8.375" style="541" customWidth="1"/>
    <col min="13846" max="13846" width="9" style="541" customWidth="1"/>
    <col min="13847" max="13847" width="8" style="541" customWidth="1"/>
    <col min="13848" max="13848" width="9.875" style="541" customWidth="1"/>
    <col min="13849" max="13860" width="0" style="541" hidden="1" customWidth="1"/>
    <col min="13861" max="13861" width="9.375" style="541" customWidth="1"/>
    <col min="13862" max="13863" width="9.125" style="541" customWidth="1"/>
    <col min="13864" max="13864" width="9.375" style="541" customWidth="1"/>
    <col min="13865" max="13877" width="0" style="541" hidden="1" customWidth="1"/>
    <col min="13878" max="13878" width="8.875" style="541" customWidth="1"/>
    <col min="13879" max="13879" width="7.25" style="541" customWidth="1"/>
    <col min="13880" max="13880" width="0" style="541" hidden="1" customWidth="1"/>
    <col min="13881" max="13881" width="9.5" style="541" customWidth="1"/>
    <col min="13882" max="13883" width="0" style="541" hidden="1" customWidth="1"/>
    <col min="13884" max="13884" width="10.125" style="541" customWidth="1"/>
    <col min="13885" max="13885" width="8" style="541" customWidth="1"/>
    <col min="13886" max="13890" width="9" style="541"/>
    <col min="13891" max="13891" width="8.625" style="541" bestFit="1" customWidth="1"/>
    <col min="13892" max="14080" width="9" style="541"/>
    <col min="14081" max="14081" width="5.125" style="541" customWidth="1"/>
    <col min="14082" max="14082" width="19.625" style="541" customWidth="1"/>
    <col min="14083" max="14084" width="7" style="541" customWidth="1"/>
    <col min="14085" max="14085" width="10.75" style="541" customWidth="1"/>
    <col min="14086" max="14086" width="9.75" style="541" customWidth="1"/>
    <col min="14087" max="14087" width="9.125" style="541" customWidth="1"/>
    <col min="14088" max="14088" width="9.375" style="541" customWidth="1"/>
    <col min="14089" max="14100" width="0" style="541" hidden="1" customWidth="1"/>
    <col min="14101" max="14101" width="8.375" style="541" customWidth="1"/>
    <col min="14102" max="14102" width="9" style="541" customWidth="1"/>
    <col min="14103" max="14103" width="8" style="541" customWidth="1"/>
    <col min="14104" max="14104" width="9.875" style="541" customWidth="1"/>
    <col min="14105" max="14116" width="0" style="541" hidden="1" customWidth="1"/>
    <col min="14117" max="14117" width="9.375" style="541" customWidth="1"/>
    <col min="14118" max="14119" width="9.125" style="541" customWidth="1"/>
    <col min="14120" max="14120" width="9.375" style="541" customWidth="1"/>
    <col min="14121" max="14133" width="0" style="541" hidden="1" customWidth="1"/>
    <col min="14134" max="14134" width="8.875" style="541" customWidth="1"/>
    <col min="14135" max="14135" width="7.25" style="541" customWidth="1"/>
    <col min="14136" max="14136" width="0" style="541" hidden="1" customWidth="1"/>
    <col min="14137" max="14137" width="9.5" style="541" customWidth="1"/>
    <col min="14138" max="14139" width="0" style="541" hidden="1" customWidth="1"/>
    <col min="14140" max="14140" width="10.125" style="541" customWidth="1"/>
    <col min="14141" max="14141" width="8" style="541" customWidth="1"/>
    <col min="14142" max="14146" width="9" style="541"/>
    <col min="14147" max="14147" width="8.625" style="541" bestFit="1" customWidth="1"/>
    <col min="14148" max="14336" width="9" style="541"/>
    <col min="14337" max="14337" width="5.125" style="541" customWidth="1"/>
    <col min="14338" max="14338" width="19.625" style="541" customWidth="1"/>
    <col min="14339" max="14340" width="7" style="541" customWidth="1"/>
    <col min="14341" max="14341" width="10.75" style="541" customWidth="1"/>
    <col min="14342" max="14342" width="9.75" style="541" customWidth="1"/>
    <col min="14343" max="14343" width="9.125" style="541" customWidth="1"/>
    <col min="14344" max="14344" width="9.375" style="541" customWidth="1"/>
    <col min="14345" max="14356" width="0" style="541" hidden="1" customWidth="1"/>
    <col min="14357" max="14357" width="8.375" style="541" customWidth="1"/>
    <col min="14358" max="14358" width="9" style="541" customWidth="1"/>
    <col min="14359" max="14359" width="8" style="541" customWidth="1"/>
    <col min="14360" max="14360" width="9.875" style="541" customWidth="1"/>
    <col min="14361" max="14372" width="0" style="541" hidden="1" customWidth="1"/>
    <col min="14373" max="14373" width="9.375" style="541" customWidth="1"/>
    <col min="14374" max="14375" width="9.125" style="541" customWidth="1"/>
    <col min="14376" max="14376" width="9.375" style="541" customWidth="1"/>
    <col min="14377" max="14389" width="0" style="541" hidden="1" customWidth="1"/>
    <col min="14390" max="14390" width="8.875" style="541" customWidth="1"/>
    <col min="14391" max="14391" width="7.25" style="541" customWidth="1"/>
    <col min="14392" max="14392" width="0" style="541" hidden="1" customWidth="1"/>
    <col min="14393" max="14393" width="9.5" style="541" customWidth="1"/>
    <col min="14394" max="14395" width="0" style="541" hidden="1" customWidth="1"/>
    <col min="14396" max="14396" width="10.125" style="541" customWidth="1"/>
    <col min="14397" max="14397" width="8" style="541" customWidth="1"/>
    <col min="14398" max="14402" width="9" style="541"/>
    <col min="14403" max="14403" width="8.625" style="541" bestFit="1" customWidth="1"/>
    <col min="14404" max="14592" width="9" style="541"/>
    <col min="14593" max="14593" width="5.125" style="541" customWidth="1"/>
    <col min="14594" max="14594" width="19.625" style="541" customWidth="1"/>
    <col min="14595" max="14596" width="7" style="541" customWidth="1"/>
    <col min="14597" max="14597" width="10.75" style="541" customWidth="1"/>
    <col min="14598" max="14598" width="9.75" style="541" customWidth="1"/>
    <col min="14599" max="14599" width="9.125" style="541" customWidth="1"/>
    <col min="14600" max="14600" width="9.375" style="541" customWidth="1"/>
    <col min="14601" max="14612" width="0" style="541" hidden="1" customWidth="1"/>
    <col min="14613" max="14613" width="8.375" style="541" customWidth="1"/>
    <col min="14614" max="14614" width="9" style="541" customWidth="1"/>
    <col min="14615" max="14615" width="8" style="541" customWidth="1"/>
    <col min="14616" max="14616" width="9.875" style="541" customWidth="1"/>
    <col min="14617" max="14628" width="0" style="541" hidden="1" customWidth="1"/>
    <col min="14629" max="14629" width="9.375" style="541" customWidth="1"/>
    <col min="14630" max="14631" width="9.125" style="541" customWidth="1"/>
    <col min="14632" max="14632" width="9.375" style="541" customWidth="1"/>
    <col min="14633" max="14645" width="0" style="541" hidden="1" customWidth="1"/>
    <col min="14646" max="14646" width="8.875" style="541" customWidth="1"/>
    <col min="14647" max="14647" width="7.25" style="541" customWidth="1"/>
    <col min="14648" max="14648" width="0" style="541" hidden="1" customWidth="1"/>
    <col min="14649" max="14649" width="9.5" style="541" customWidth="1"/>
    <col min="14650" max="14651" width="0" style="541" hidden="1" customWidth="1"/>
    <col min="14652" max="14652" width="10.125" style="541" customWidth="1"/>
    <col min="14653" max="14653" width="8" style="541" customWidth="1"/>
    <col min="14654" max="14658" width="9" style="541"/>
    <col min="14659" max="14659" width="8.625" style="541" bestFit="1" customWidth="1"/>
    <col min="14660" max="14848" width="9" style="541"/>
    <col min="14849" max="14849" width="5.125" style="541" customWidth="1"/>
    <col min="14850" max="14850" width="19.625" style="541" customWidth="1"/>
    <col min="14851" max="14852" width="7" style="541" customWidth="1"/>
    <col min="14853" max="14853" width="10.75" style="541" customWidth="1"/>
    <col min="14854" max="14854" width="9.75" style="541" customWidth="1"/>
    <col min="14855" max="14855" width="9.125" style="541" customWidth="1"/>
    <col min="14856" max="14856" width="9.375" style="541" customWidth="1"/>
    <col min="14857" max="14868" width="0" style="541" hidden="1" customWidth="1"/>
    <col min="14869" max="14869" width="8.375" style="541" customWidth="1"/>
    <col min="14870" max="14870" width="9" style="541" customWidth="1"/>
    <col min="14871" max="14871" width="8" style="541" customWidth="1"/>
    <col min="14872" max="14872" width="9.875" style="541" customWidth="1"/>
    <col min="14873" max="14884" width="0" style="541" hidden="1" customWidth="1"/>
    <col min="14885" max="14885" width="9.375" style="541" customWidth="1"/>
    <col min="14886" max="14887" width="9.125" style="541" customWidth="1"/>
    <col min="14888" max="14888" width="9.375" style="541" customWidth="1"/>
    <col min="14889" max="14901" width="0" style="541" hidden="1" customWidth="1"/>
    <col min="14902" max="14902" width="8.875" style="541" customWidth="1"/>
    <col min="14903" max="14903" width="7.25" style="541" customWidth="1"/>
    <col min="14904" max="14904" width="0" style="541" hidden="1" customWidth="1"/>
    <col min="14905" max="14905" width="9.5" style="541" customWidth="1"/>
    <col min="14906" max="14907" width="0" style="541" hidden="1" customWidth="1"/>
    <col min="14908" max="14908" width="10.125" style="541" customWidth="1"/>
    <col min="14909" max="14909" width="8" style="541" customWidth="1"/>
    <col min="14910" max="14914" width="9" style="541"/>
    <col min="14915" max="14915" width="8.625" style="541" bestFit="1" customWidth="1"/>
    <col min="14916" max="15104" width="9" style="541"/>
    <col min="15105" max="15105" width="5.125" style="541" customWidth="1"/>
    <col min="15106" max="15106" width="19.625" style="541" customWidth="1"/>
    <col min="15107" max="15108" width="7" style="541" customWidth="1"/>
    <col min="15109" max="15109" width="10.75" style="541" customWidth="1"/>
    <col min="15110" max="15110" width="9.75" style="541" customWidth="1"/>
    <col min="15111" max="15111" width="9.125" style="541" customWidth="1"/>
    <col min="15112" max="15112" width="9.375" style="541" customWidth="1"/>
    <col min="15113" max="15124" width="0" style="541" hidden="1" customWidth="1"/>
    <col min="15125" max="15125" width="8.375" style="541" customWidth="1"/>
    <col min="15126" max="15126" width="9" style="541" customWidth="1"/>
    <col min="15127" max="15127" width="8" style="541" customWidth="1"/>
    <col min="15128" max="15128" width="9.875" style="541" customWidth="1"/>
    <col min="15129" max="15140" width="0" style="541" hidden="1" customWidth="1"/>
    <col min="15141" max="15141" width="9.375" style="541" customWidth="1"/>
    <col min="15142" max="15143" width="9.125" style="541" customWidth="1"/>
    <col min="15144" max="15144" width="9.375" style="541" customWidth="1"/>
    <col min="15145" max="15157" width="0" style="541" hidden="1" customWidth="1"/>
    <col min="15158" max="15158" width="8.875" style="541" customWidth="1"/>
    <col min="15159" max="15159" width="7.25" style="541" customWidth="1"/>
    <col min="15160" max="15160" width="0" style="541" hidden="1" customWidth="1"/>
    <col min="15161" max="15161" width="9.5" style="541" customWidth="1"/>
    <col min="15162" max="15163" width="0" style="541" hidden="1" customWidth="1"/>
    <col min="15164" max="15164" width="10.125" style="541" customWidth="1"/>
    <col min="15165" max="15165" width="8" style="541" customWidth="1"/>
    <col min="15166" max="15170" width="9" style="541"/>
    <col min="15171" max="15171" width="8.625" style="541" bestFit="1" customWidth="1"/>
    <col min="15172" max="15360" width="9" style="541"/>
    <col min="15361" max="15361" width="5.125" style="541" customWidth="1"/>
    <col min="15362" max="15362" width="19.625" style="541" customWidth="1"/>
    <col min="15363" max="15364" width="7" style="541" customWidth="1"/>
    <col min="15365" max="15365" width="10.75" style="541" customWidth="1"/>
    <col min="15366" max="15366" width="9.75" style="541" customWidth="1"/>
    <col min="15367" max="15367" width="9.125" style="541" customWidth="1"/>
    <col min="15368" max="15368" width="9.375" style="541" customWidth="1"/>
    <col min="15369" max="15380" width="0" style="541" hidden="1" customWidth="1"/>
    <col min="15381" max="15381" width="8.375" style="541" customWidth="1"/>
    <col min="15382" max="15382" width="9" style="541" customWidth="1"/>
    <col min="15383" max="15383" width="8" style="541" customWidth="1"/>
    <col min="15384" max="15384" width="9.875" style="541" customWidth="1"/>
    <col min="15385" max="15396" width="0" style="541" hidden="1" customWidth="1"/>
    <col min="15397" max="15397" width="9.375" style="541" customWidth="1"/>
    <col min="15398" max="15399" width="9.125" style="541" customWidth="1"/>
    <col min="15400" max="15400" width="9.375" style="541" customWidth="1"/>
    <col min="15401" max="15413" width="0" style="541" hidden="1" customWidth="1"/>
    <col min="15414" max="15414" width="8.875" style="541" customWidth="1"/>
    <col min="15415" max="15415" width="7.25" style="541" customWidth="1"/>
    <col min="15416" max="15416" width="0" style="541" hidden="1" customWidth="1"/>
    <col min="15417" max="15417" width="9.5" style="541" customWidth="1"/>
    <col min="15418" max="15419" width="0" style="541" hidden="1" customWidth="1"/>
    <col min="15420" max="15420" width="10.125" style="541" customWidth="1"/>
    <col min="15421" max="15421" width="8" style="541" customWidth="1"/>
    <col min="15422" max="15426" width="9" style="541"/>
    <col min="15427" max="15427" width="8.625" style="541" bestFit="1" customWidth="1"/>
    <col min="15428" max="15616" width="9" style="541"/>
    <col min="15617" max="15617" width="5.125" style="541" customWidth="1"/>
    <col min="15618" max="15618" width="19.625" style="541" customWidth="1"/>
    <col min="15619" max="15620" width="7" style="541" customWidth="1"/>
    <col min="15621" max="15621" width="10.75" style="541" customWidth="1"/>
    <col min="15622" max="15622" width="9.75" style="541" customWidth="1"/>
    <col min="15623" max="15623" width="9.125" style="541" customWidth="1"/>
    <col min="15624" max="15624" width="9.375" style="541" customWidth="1"/>
    <col min="15625" max="15636" width="0" style="541" hidden="1" customWidth="1"/>
    <col min="15637" max="15637" width="8.375" style="541" customWidth="1"/>
    <col min="15638" max="15638" width="9" style="541" customWidth="1"/>
    <col min="15639" max="15639" width="8" style="541" customWidth="1"/>
    <col min="15640" max="15640" width="9.875" style="541" customWidth="1"/>
    <col min="15641" max="15652" width="0" style="541" hidden="1" customWidth="1"/>
    <col min="15653" max="15653" width="9.375" style="541" customWidth="1"/>
    <col min="15654" max="15655" width="9.125" style="541" customWidth="1"/>
    <col min="15656" max="15656" width="9.375" style="541" customWidth="1"/>
    <col min="15657" max="15669" width="0" style="541" hidden="1" customWidth="1"/>
    <col min="15670" max="15670" width="8.875" style="541" customWidth="1"/>
    <col min="15671" max="15671" width="7.25" style="541" customWidth="1"/>
    <col min="15672" max="15672" width="0" style="541" hidden="1" customWidth="1"/>
    <col min="15673" max="15673" width="9.5" style="541" customWidth="1"/>
    <col min="15674" max="15675" width="0" style="541" hidden="1" customWidth="1"/>
    <col min="15676" max="15676" width="10.125" style="541" customWidth="1"/>
    <col min="15677" max="15677" width="8" style="541" customWidth="1"/>
    <col min="15678" max="15682" width="9" style="541"/>
    <col min="15683" max="15683" width="8.625" style="541" bestFit="1" customWidth="1"/>
    <col min="15684" max="15872" width="9" style="541"/>
    <col min="15873" max="15873" width="5.125" style="541" customWidth="1"/>
    <col min="15874" max="15874" width="19.625" style="541" customWidth="1"/>
    <col min="15875" max="15876" width="7" style="541" customWidth="1"/>
    <col min="15877" max="15877" width="10.75" style="541" customWidth="1"/>
    <col min="15878" max="15878" width="9.75" style="541" customWidth="1"/>
    <col min="15879" max="15879" width="9.125" style="541" customWidth="1"/>
    <col min="15880" max="15880" width="9.375" style="541" customWidth="1"/>
    <col min="15881" max="15892" width="0" style="541" hidden="1" customWidth="1"/>
    <col min="15893" max="15893" width="8.375" style="541" customWidth="1"/>
    <col min="15894" max="15894" width="9" style="541" customWidth="1"/>
    <col min="15895" max="15895" width="8" style="541" customWidth="1"/>
    <col min="15896" max="15896" width="9.875" style="541" customWidth="1"/>
    <col min="15897" max="15908" width="0" style="541" hidden="1" customWidth="1"/>
    <col min="15909" max="15909" width="9.375" style="541" customWidth="1"/>
    <col min="15910" max="15911" width="9.125" style="541" customWidth="1"/>
    <col min="15912" max="15912" width="9.375" style="541" customWidth="1"/>
    <col min="15913" max="15925" width="0" style="541" hidden="1" customWidth="1"/>
    <col min="15926" max="15926" width="8.875" style="541" customWidth="1"/>
    <col min="15927" max="15927" width="7.25" style="541" customWidth="1"/>
    <col min="15928" max="15928" width="0" style="541" hidden="1" customWidth="1"/>
    <col min="15929" max="15929" width="9.5" style="541" customWidth="1"/>
    <col min="15930" max="15931" width="0" style="541" hidden="1" customWidth="1"/>
    <col min="15932" max="15932" width="10.125" style="541" customWidth="1"/>
    <col min="15933" max="15933" width="8" style="541" customWidth="1"/>
    <col min="15934" max="15938" width="9" style="541"/>
    <col min="15939" max="15939" width="8.625" style="541" bestFit="1" customWidth="1"/>
    <col min="15940" max="16128" width="9" style="541"/>
    <col min="16129" max="16129" width="5.125" style="541" customWidth="1"/>
    <col min="16130" max="16130" width="19.625" style="541" customWidth="1"/>
    <col min="16131" max="16132" width="7" style="541" customWidth="1"/>
    <col min="16133" max="16133" width="10.75" style="541" customWidth="1"/>
    <col min="16134" max="16134" width="9.75" style="541" customWidth="1"/>
    <col min="16135" max="16135" width="9.125" style="541" customWidth="1"/>
    <col min="16136" max="16136" width="9.375" style="541" customWidth="1"/>
    <col min="16137" max="16148" width="0" style="541" hidden="1" customWidth="1"/>
    <col min="16149" max="16149" width="8.375" style="541" customWidth="1"/>
    <col min="16150" max="16150" width="9" style="541" customWidth="1"/>
    <col min="16151" max="16151" width="8" style="541" customWidth="1"/>
    <col min="16152" max="16152" width="9.875" style="541" customWidth="1"/>
    <col min="16153" max="16164" width="0" style="541" hidden="1" customWidth="1"/>
    <col min="16165" max="16165" width="9.375" style="541" customWidth="1"/>
    <col min="16166" max="16167" width="9.125" style="541" customWidth="1"/>
    <col min="16168" max="16168" width="9.375" style="541" customWidth="1"/>
    <col min="16169" max="16181" width="0" style="541" hidden="1" customWidth="1"/>
    <col min="16182" max="16182" width="8.875" style="541" customWidth="1"/>
    <col min="16183" max="16183" width="7.25" style="541" customWidth="1"/>
    <col min="16184" max="16184" width="0" style="541" hidden="1" customWidth="1"/>
    <col min="16185" max="16185" width="9.5" style="541" customWidth="1"/>
    <col min="16186" max="16187" width="0" style="541" hidden="1" customWidth="1"/>
    <col min="16188" max="16188" width="10.125" style="541" customWidth="1"/>
    <col min="16189" max="16189" width="8" style="541" customWidth="1"/>
    <col min="16190" max="16194" width="9" style="541"/>
    <col min="16195" max="16195" width="8.625" style="541" bestFit="1" customWidth="1"/>
    <col min="16196" max="16384" width="9" style="541"/>
  </cols>
  <sheetData>
    <row r="1" spans="1:62" ht="20.25" customHeight="1" x14ac:dyDescent="0.25">
      <c r="A1" s="676" t="s">
        <v>291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  <c r="BE1" s="676"/>
      <c r="BF1" s="676"/>
      <c r="BG1" s="676"/>
      <c r="BH1" s="676"/>
    </row>
    <row r="2" spans="1:62" ht="9" customHeight="1" x14ac:dyDescent="0.25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  <c r="BF2" s="677"/>
      <c r="BG2" s="677"/>
      <c r="BH2" s="677"/>
    </row>
    <row r="3" spans="1:62" s="572" customFormat="1" ht="18.75" customHeight="1" x14ac:dyDescent="0.15">
      <c r="A3" s="678" t="s">
        <v>9</v>
      </c>
      <c r="B3" s="678" t="s">
        <v>292</v>
      </c>
      <c r="C3" s="679" t="s">
        <v>293</v>
      </c>
      <c r="D3" s="679"/>
      <c r="E3" s="678" t="s">
        <v>294</v>
      </c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9" t="s">
        <v>295</v>
      </c>
      <c r="BB3" s="679" t="s">
        <v>296</v>
      </c>
      <c r="BC3" s="679" t="s">
        <v>297</v>
      </c>
      <c r="BD3" s="679" t="s">
        <v>298</v>
      </c>
      <c r="BE3" s="679" t="s">
        <v>299</v>
      </c>
      <c r="BF3" s="679" t="s">
        <v>300</v>
      </c>
      <c r="BG3" s="679" t="s">
        <v>301</v>
      </c>
      <c r="BH3" s="679" t="s">
        <v>302</v>
      </c>
    </row>
    <row r="4" spans="1:62" s="572" customFormat="1" ht="21" customHeight="1" x14ac:dyDescent="0.15">
      <c r="A4" s="678"/>
      <c r="B4" s="678"/>
      <c r="C4" s="679"/>
      <c r="D4" s="679"/>
      <c r="E4" s="679" t="s">
        <v>303</v>
      </c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 t="s">
        <v>304</v>
      </c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 t="s">
        <v>305</v>
      </c>
      <c r="AL4" s="679"/>
      <c r="AM4" s="679"/>
      <c r="AN4" s="679"/>
      <c r="AO4" s="679"/>
      <c r="AP4" s="679"/>
      <c r="AQ4" s="679"/>
      <c r="AR4" s="679"/>
      <c r="AS4" s="679"/>
      <c r="AT4" s="679"/>
      <c r="AU4" s="679"/>
      <c r="AV4" s="679"/>
      <c r="AW4" s="679"/>
      <c r="AX4" s="679"/>
      <c r="AY4" s="679"/>
      <c r="AZ4" s="679"/>
      <c r="BA4" s="679"/>
      <c r="BB4" s="679"/>
      <c r="BC4" s="679"/>
      <c r="BD4" s="679"/>
      <c r="BE4" s="679"/>
      <c r="BF4" s="679"/>
      <c r="BG4" s="679"/>
      <c r="BH4" s="679"/>
    </row>
    <row r="5" spans="1:62" s="572" customFormat="1" ht="15" customHeight="1" x14ac:dyDescent="0.15">
      <c r="A5" s="678"/>
      <c r="B5" s="678"/>
      <c r="C5" s="678" t="s">
        <v>306</v>
      </c>
      <c r="D5" s="678" t="s">
        <v>307</v>
      </c>
      <c r="E5" s="679" t="s">
        <v>306</v>
      </c>
      <c r="F5" s="679" t="s">
        <v>308</v>
      </c>
      <c r="G5" s="679" t="s">
        <v>309</v>
      </c>
      <c r="H5" s="679" t="s">
        <v>310</v>
      </c>
      <c r="I5" s="679" t="s">
        <v>311</v>
      </c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 t="s">
        <v>306</v>
      </c>
      <c r="V5" s="679" t="s">
        <v>308</v>
      </c>
      <c r="W5" s="679" t="s">
        <v>309</v>
      </c>
      <c r="X5" s="679" t="s">
        <v>310</v>
      </c>
      <c r="Y5" s="679" t="s">
        <v>311</v>
      </c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 t="s">
        <v>306</v>
      </c>
      <c r="AL5" s="679" t="s">
        <v>308</v>
      </c>
      <c r="AM5" s="679" t="s">
        <v>309</v>
      </c>
      <c r="AN5" s="679" t="s">
        <v>310</v>
      </c>
      <c r="AO5" s="679" t="s">
        <v>311</v>
      </c>
      <c r="AP5" s="679"/>
      <c r="AQ5" s="679"/>
      <c r="AR5" s="679"/>
      <c r="AS5" s="679"/>
      <c r="AT5" s="679"/>
      <c r="AU5" s="679"/>
      <c r="AV5" s="679"/>
      <c r="AW5" s="679"/>
      <c r="AX5" s="679"/>
      <c r="AY5" s="679"/>
      <c r="AZ5" s="679"/>
      <c r="BA5" s="679"/>
      <c r="BB5" s="679"/>
      <c r="BC5" s="679"/>
      <c r="BD5" s="679"/>
      <c r="BE5" s="679"/>
      <c r="BF5" s="679"/>
      <c r="BG5" s="679"/>
      <c r="BH5" s="679"/>
    </row>
    <row r="6" spans="1:62" s="572" customFormat="1" ht="27" customHeight="1" x14ac:dyDescent="0.15">
      <c r="A6" s="678"/>
      <c r="B6" s="678"/>
      <c r="C6" s="678"/>
      <c r="D6" s="678"/>
      <c r="E6" s="679"/>
      <c r="F6" s="679"/>
      <c r="G6" s="679"/>
      <c r="H6" s="679"/>
      <c r="I6" s="573" t="s">
        <v>38</v>
      </c>
      <c r="J6" s="573" t="s">
        <v>41</v>
      </c>
      <c r="K6" s="573" t="s">
        <v>40</v>
      </c>
      <c r="L6" s="573" t="s">
        <v>43</v>
      </c>
      <c r="M6" s="573" t="s">
        <v>45</v>
      </c>
      <c r="N6" s="573" t="s">
        <v>47</v>
      </c>
      <c r="O6" s="573" t="s">
        <v>49</v>
      </c>
      <c r="P6" s="573" t="s">
        <v>50</v>
      </c>
      <c r="Q6" s="573" t="s">
        <v>51</v>
      </c>
      <c r="R6" s="573" t="s">
        <v>52</v>
      </c>
      <c r="S6" s="573" t="s">
        <v>53</v>
      </c>
      <c r="T6" s="573" t="s">
        <v>54</v>
      </c>
      <c r="U6" s="679"/>
      <c r="V6" s="679"/>
      <c r="W6" s="679"/>
      <c r="X6" s="679"/>
      <c r="Y6" s="573" t="s">
        <v>38</v>
      </c>
      <c r="Z6" s="573" t="s">
        <v>41</v>
      </c>
      <c r="AA6" s="573" t="s">
        <v>40</v>
      </c>
      <c r="AB6" s="573" t="s">
        <v>43</v>
      </c>
      <c r="AC6" s="573" t="s">
        <v>45</v>
      </c>
      <c r="AD6" s="573" t="s">
        <v>47</v>
      </c>
      <c r="AE6" s="573" t="s">
        <v>49</v>
      </c>
      <c r="AF6" s="573" t="s">
        <v>50</v>
      </c>
      <c r="AG6" s="573" t="s">
        <v>51</v>
      </c>
      <c r="AH6" s="573" t="s">
        <v>52</v>
      </c>
      <c r="AI6" s="573" t="s">
        <v>53</v>
      </c>
      <c r="AJ6" s="573" t="s">
        <v>54</v>
      </c>
      <c r="AK6" s="679"/>
      <c r="AL6" s="679"/>
      <c r="AM6" s="679"/>
      <c r="AN6" s="679"/>
      <c r="AO6" s="573" t="s">
        <v>38</v>
      </c>
      <c r="AP6" s="573" t="s">
        <v>41</v>
      </c>
      <c r="AQ6" s="573" t="s">
        <v>40</v>
      </c>
      <c r="AR6" s="573" t="s">
        <v>43</v>
      </c>
      <c r="AS6" s="573" t="s">
        <v>45</v>
      </c>
      <c r="AT6" s="573" t="s">
        <v>47</v>
      </c>
      <c r="AU6" s="573" t="s">
        <v>49</v>
      </c>
      <c r="AV6" s="573" t="s">
        <v>50</v>
      </c>
      <c r="AW6" s="573" t="s">
        <v>51</v>
      </c>
      <c r="AX6" s="573" t="s">
        <v>52</v>
      </c>
      <c r="AY6" s="573" t="s">
        <v>53</v>
      </c>
      <c r="AZ6" s="573" t="s">
        <v>54</v>
      </c>
      <c r="BA6" s="679"/>
      <c r="BB6" s="679"/>
      <c r="BC6" s="679"/>
      <c r="BD6" s="679"/>
      <c r="BE6" s="679"/>
      <c r="BF6" s="679"/>
      <c r="BG6" s="679"/>
      <c r="BH6" s="679"/>
    </row>
    <row r="7" spans="1:62" s="544" customFormat="1" ht="30" customHeight="1" x14ac:dyDescent="0.2">
      <c r="A7" s="574"/>
      <c r="B7" s="574" t="s">
        <v>312</v>
      </c>
      <c r="C7" s="576">
        <f>C8+C13</f>
        <v>1590</v>
      </c>
      <c r="D7" s="576">
        <f>D8+D13</f>
        <v>2201</v>
      </c>
      <c r="E7" s="576">
        <f>E8+E13</f>
        <v>1146300</v>
      </c>
      <c r="F7" s="576">
        <f>F8+F13</f>
        <v>503089</v>
      </c>
      <c r="G7" s="576">
        <f>G8+G13</f>
        <v>443804.8</v>
      </c>
      <c r="H7" s="577">
        <f t="shared" ref="H7:H21" si="0">G7/E7*100</f>
        <v>38.716287184855616</v>
      </c>
      <c r="I7" s="576">
        <f t="shared" ref="I7:BB7" si="1">I8+I13</f>
        <v>60607</v>
      </c>
      <c r="J7" s="576">
        <f t="shared" si="1"/>
        <v>52379.8</v>
      </c>
      <c r="K7" s="576">
        <f t="shared" si="1"/>
        <v>88408</v>
      </c>
      <c r="L7" s="576">
        <f t="shared" si="1"/>
        <v>72885</v>
      </c>
      <c r="M7" s="576">
        <f t="shared" si="1"/>
        <v>75593</v>
      </c>
      <c r="N7" s="576">
        <f t="shared" si="1"/>
        <v>85453</v>
      </c>
      <c r="O7" s="576">
        <f t="shared" si="1"/>
        <v>3968</v>
      </c>
      <c r="P7" s="576">
        <f t="shared" si="1"/>
        <v>4511</v>
      </c>
      <c r="Q7" s="576">
        <f t="shared" si="1"/>
        <v>0</v>
      </c>
      <c r="R7" s="576">
        <f t="shared" si="1"/>
        <v>0</v>
      </c>
      <c r="S7" s="576">
        <f t="shared" si="1"/>
        <v>0</v>
      </c>
      <c r="T7" s="576">
        <f t="shared" si="1"/>
        <v>0</v>
      </c>
      <c r="U7" s="576">
        <f t="shared" si="1"/>
        <v>79620</v>
      </c>
      <c r="V7" s="576">
        <f t="shared" si="1"/>
        <v>35960</v>
      </c>
      <c r="W7" s="576">
        <f t="shared" si="1"/>
        <v>30211</v>
      </c>
      <c r="X7" s="577">
        <f t="shared" ref="X7:X21" si="2">W7/U7*100</f>
        <v>37.943983923637276</v>
      </c>
      <c r="Y7" s="576">
        <f t="shared" si="1"/>
        <v>3967</v>
      </c>
      <c r="Z7" s="576">
        <f t="shared" si="1"/>
        <v>4349</v>
      </c>
      <c r="AA7" s="576">
        <f t="shared" si="1"/>
        <v>5645</v>
      </c>
      <c r="AB7" s="576">
        <f t="shared" si="1"/>
        <v>5157</v>
      </c>
      <c r="AC7" s="576">
        <f t="shared" si="1"/>
        <v>5171</v>
      </c>
      <c r="AD7" s="576">
        <f t="shared" si="1"/>
        <v>5922</v>
      </c>
      <c r="AE7" s="576">
        <f t="shared" si="1"/>
        <v>0</v>
      </c>
      <c r="AF7" s="576">
        <f t="shared" si="1"/>
        <v>0</v>
      </c>
      <c r="AG7" s="576">
        <f t="shared" si="1"/>
        <v>0</v>
      </c>
      <c r="AH7" s="576">
        <f t="shared" si="1"/>
        <v>0</v>
      </c>
      <c r="AI7" s="576">
        <f t="shared" si="1"/>
        <v>0</v>
      </c>
      <c r="AJ7" s="576">
        <f t="shared" si="1"/>
        <v>0</v>
      </c>
      <c r="AK7" s="576">
        <f t="shared" si="1"/>
        <v>554500</v>
      </c>
      <c r="AL7" s="576">
        <f t="shared" si="1"/>
        <v>226469</v>
      </c>
      <c r="AM7" s="576">
        <f t="shared" si="1"/>
        <v>218450</v>
      </c>
      <c r="AN7" s="577">
        <f>AM7/AK7%</f>
        <v>39.395852119026152</v>
      </c>
      <c r="AO7" s="576">
        <f t="shared" si="1"/>
        <v>34204</v>
      </c>
      <c r="AP7" s="576">
        <f t="shared" si="1"/>
        <v>29205</v>
      </c>
      <c r="AQ7" s="576">
        <f t="shared" si="1"/>
        <v>49832</v>
      </c>
      <c r="AR7" s="576">
        <f t="shared" si="1"/>
        <v>36888</v>
      </c>
      <c r="AS7" s="576">
        <f t="shared" si="1"/>
        <v>34106</v>
      </c>
      <c r="AT7" s="576">
        <f t="shared" si="1"/>
        <v>34215</v>
      </c>
      <c r="AU7" s="576">
        <f t="shared" si="1"/>
        <v>0</v>
      </c>
      <c r="AV7" s="576">
        <f t="shared" si="1"/>
        <v>0</v>
      </c>
      <c r="AW7" s="576">
        <f t="shared" si="1"/>
        <v>0</v>
      </c>
      <c r="AX7" s="576">
        <f t="shared" si="1"/>
        <v>0</v>
      </c>
      <c r="AY7" s="576">
        <f t="shared" si="1"/>
        <v>0</v>
      </c>
      <c r="AZ7" s="576">
        <f t="shared" si="1"/>
        <v>0</v>
      </c>
      <c r="BA7" s="576">
        <f t="shared" si="1"/>
        <v>207378</v>
      </c>
      <c r="BB7" s="576">
        <f t="shared" si="1"/>
        <v>179351</v>
      </c>
      <c r="BC7" s="578">
        <f>BB7/(C7*183)*100</f>
        <v>61.63900058425267</v>
      </c>
      <c r="BD7" s="578">
        <f>BB7/(D7*304)*100</f>
        <v>26.804652191587557</v>
      </c>
      <c r="BE7" s="579">
        <f>BB7/W7</f>
        <v>5.9366124921386252</v>
      </c>
      <c r="BF7" s="581">
        <f>BF8+BF13</f>
        <v>17686</v>
      </c>
      <c r="BG7" s="581">
        <f>BG8+BG13</f>
        <v>22381</v>
      </c>
      <c r="BH7" s="580">
        <f>BF7/BG7*100</f>
        <v>79.022385058755191</v>
      </c>
    </row>
    <row r="8" spans="1:62" s="544" customFormat="1" ht="30" customHeight="1" x14ac:dyDescent="0.2">
      <c r="A8" s="574" t="s">
        <v>12</v>
      </c>
      <c r="B8" s="575" t="s">
        <v>313</v>
      </c>
      <c r="C8" s="576">
        <f>SUM(C9:C12)</f>
        <v>670</v>
      </c>
      <c r="D8" s="576">
        <f>SUM(D9:D12)</f>
        <v>874</v>
      </c>
      <c r="E8" s="576">
        <f>SUM(E9:E12)</f>
        <v>118800</v>
      </c>
      <c r="F8" s="576">
        <f t="shared" ref="F8:BG8" si="3">SUM(F9:F12)</f>
        <v>58219</v>
      </c>
      <c r="G8" s="576">
        <f t="shared" si="3"/>
        <v>63603</v>
      </c>
      <c r="H8" s="577">
        <f t="shared" si="0"/>
        <v>53.537878787878789</v>
      </c>
      <c r="I8" s="576">
        <f t="shared" si="3"/>
        <v>8683</v>
      </c>
      <c r="J8" s="576">
        <f t="shared" si="3"/>
        <v>10718</v>
      </c>
      <c r="K8" s="576">
        <f t="shared" si="3"/>
        <v>11006</v>
      </c>
      <c r="L8" s="576">
        <f t="shared" si="3"/>
        <v>12682</v>
      </c>
      <c r="M8" s="576">
        <f t="shared" si="3"/>
        <v>9374</v>
      </c>
      <c r="N8" s="576">
        <f t="shared" si="3"/>
        <v>11140</v>
      </c>
      <c r="O8" s="576">
        <f t="shared" si="3"/>
        <v>0</v>
      </c>
      <c r="P8" s="576">
        <f t="shared" si="3"/>
        <v>0</v>
      </c>
      <c r="Q8" s="576">
        <f t="shared" si="3"/>
        <v>0</v>
      </c>
      <c r="R8" s="576">
        <f t="shared" si="3"/>
        <v>0</v>
      </c>
      <c r="S8" s="576">
        <f t="shared" si="3"/>
        <v>0</v>
      </c>
      <c r="T8" s="576">
        <f t="shared" si="3"/>
        <v>0</v>
      </c>
      <c r="U8" s="576">
        <f t="shared" si="3"/>
        <v>29000</v>
      </c>
      <c r="V8" s="576">
        <f t="shared" si="3"/>
        <v>13970</v>
      </c>
      <c r="W8" s="576">
        <f t="shared" si="3"/>
        <v>12003</v>
      </c>
      <c r="X8" s="591">
        <f>W8/U8*100</f>
        <v>41.389655172413789</v>
      </c>
      <c r="Y8" s="576">
        <f t="shared" si="3"/>
        <v>1432</v>
      </c>
      <c r="Z8" s="576">
        <f t="shared" si="3"/>
        <v>1733</v>
      </c>
      <c r="AA8" s="576">
        <f t="shared" si="3"/>
        <v>1687</v>
      </c>
      <c r="AB8" s="576">
        <f t="shared" si="3"/>
        <v>2263</v>
      </c>
      <c r="AC8" s="576">
        <f t="shared" si="3"/>
        <v>2206</v>
      </c>
      <c r="AD8" s="576">
        <f t="shared" si="3"/>
        <v>2682</v>
      </c>
      <c r="AE8" s="576">
        <f t="shared" si="3"/>
        <v>0</v>
      </c>
      <c r="AF8" s="576">
        <f t="shared" si="3"/>
        <v>0</v>
      </c>
      <c r="AG8" s="576">
        <f t="shared" si="3"/>
        <v>0</v>
      </c>
      <c r="AH8" s="576">
        <f t="shared" si="3"/>
        <v>0</v>
      </c>
      <c r="AI8" s="576">
        <f t="shared" si="3"/>
        <v>0</v>
      </c>
      <c r="AJ8" s="576">
        <f t="shared" si="3"/>
        <v>0</v>
      </c>
      <c r="AK8" s="576">
        <f t="shared" si="3"/>
        <v>84500</v>
      </c>
      <c r="AL8" s="576">
        <f t="shared" si="3"/>
        <v>22563</v>
      </c>
      <c r="AM8" s="576">
        <f t="shared" si="3"/>
        <v>51083</v>
      </c>
      <c r="AN8" s="577">
        <f t="shared" ref="AN8:AN21" si="4">AM8/AK8%</f>
        <v>60.453254437869823</v>
      </c>
      <c r="AO8" s="576">
        <f t="shared" si="3"/>
        <v>7162</v>
      </c>
      <c r="AP8" s="576">
        <f t="shared" si="3"/>
        <v>8937</v>
      </c>
      <c r="AQ8" s="576">
        <f t="shared" si="3"/>
        <v>9257</v>
      </c>
      <c r="AR8" s="576">
        <f t="shared" si="3"/>
        <v>10324</v>
      </c>
      <c r="AS8" s="576">
        <f t="shared" si="3"/>
        <v>7064</v>
      </c>
      <c r="AT8" s="576">
        <f t="shared" si="3"/>
        <v>8339</v>
      </c>
      <c r="AU8" s="576">
        <f t="shared" si="3"/>
        <v>0</v>
      </c>
      <c r="AV8" s="576">
        <f t="shared" si="3"/>
        <v>0</v>
      </c>
      <c r="AW8" s="576">
        <f t="shared" si="3"/>
        <v>0</v>
      </c>
      <c r="AX8" s="576">
        <f t="shared" si="3"/>
        <v>0</v>
      </c>
      <c r="AY8" s="576">
        <f t="shared" si="3"/>
        <v>0</v>
      </c>
      <c r="AZ8" s="576">
        <f t="shared" si="3"/>
        <v>0</v>
      </c>
      <c r="BA8" s="576">
        <f t="shared" si="3"/>
        <v>81292</v>
      </c>
      <c r="BB8" s="576">
        <f t="shared" si="3"/>
        <v>73277</v>
      </c>
      <c r="BC8" s="578">
        <f>BB8/(C8*304)*100</f>
        <v>35.976531814611157</v>
      </c>
      <c r="BD8" s="578">
        <f>BB8/(D8*304)*100</f>
        <v>27.579263519209924</v>
      </c>
      <c r="BE8" s="579">
        <f t="shared" ref="BE8:BE21" si="5">BB8/W8</f>
        <v>6.1048904440556528</v>
      </c>
      <c r="BF8" s="576">
        <f t="shared" si="3"/>
        <v>6648</v>
      </c>
      <c r="BG8" s="576">
        <f t="shared" si="3"/>
        <v>9020</v>
      </c>
      <c r="BH8" s="580">
        <f t="shared" ref="BH8:BH21" si="6">BF8/BG8*100</f>
        <v>73.702882483370288</v>
      </c>
    </row>
    <row r="9" spans="1:62" ht="30" customHeight="1" x14ac:dyDescent="0.25">
      <c r="A9" s="592">
        <v>1</v>
      </c>
      <c r="B9" s="593" t="s">
        <v>314</v>
      </c>
      <c r="C9" s="594">
        <v>500</v>
      </c>
      <c r="D9" s="594">
        <v>674</v>
      </c>
      <c r="E9" s="594">
        <v>98000</v>
      </c>
      <c r="F9" s="595">
        <v>48813</v>
      </c>
      <c r="G9" s="594">
        <f>SUM(I9:T9)</f>
        <v>54630</v>
      </c>
      <c r="H9" s="596">
        <f t="shared" si="0"/>
        <v>55.744897959183668</v>
      </c>
      <c r="I9" s="595">
        <v>7319</v>
      </c>
      <c r="J9" s="595">
        <v>9632</v>
      </c>
      <c r="K9" s="595">
        <v>9717</v>
      </c>
      <c r="L9" s="595">
        <v>11023</v>
      </c>
      <c r="M9" s="595">
        <v>7717</v>
      </c>
      <c r="N9" s="597">
        <v>9222</v>
      </c>
      <c r="O9" s="595"/>
      <c r="P9" s="595"/>
      <c r="Q9" s="595"/>
      <c r="R9" s="595"/>
      <c r="S9" s="595"/>
      <c r="T9" s="595"/>
      <c r="U9" s="594">
        <v>25000</v>
      </c>
      <c r="V9" s="595">
        <v>12502</v>
      </c>
      <c r="W9" s="594">
        <f>SUM(Y9:AJ9)</f>
        <v>10318</v>
      </c>
      <c r="X9" s="596">
        <f>W9/U9*100</f>
        <v>41.271999999999998</v>
      </c>
      <c r="Y9" s="595">
        <v>1220</v>
      </c>
      <c r="Z9" s="595">
        <v>1473</v>
      </c>
      <c r="AA9" s="595">
        <v>1431</v>
      </c>
      <c r="AB9" s="595">
        <v>1957</v>
      </c>
      <c r="AC9" s="595">
        <v>1910</v>
      </c>
      <c r="AD9" s="597">
        <v>2327</v>
      </c>
      <c r="AE9" s="595"/>
      <c r="AF9" s="595"/>
      <c r="AG9" s="595"/>
      <c r="AH9" s="595"/>
      <c r="AI9" s="595"/>
      <c r="AJ9" s="595"/>
      <c r="AK9" s="594">
        <v>70000</v>
      </c>
      <c r="AL9" s="595">
        <v>15425</v>
      </c>
      <c r="AM9" s="594">
        <f>SUM(AO9:AZ9)</f>
        <v>44312</v>
      </c>
      <c r="AN9" s="596">
        <f>AM9/AK9*100</f>
        <v>63.302857142857135</v>
      </c>
      <c r="AO9" s="595">
        <v>6099</v>
      </c>
      <c r="AP9" s="595">
        <v>8159</v>
      </c>
      <c r="AQ9" s="595">
        <v>8286</v>
      </c>
      <c r="AR9" s="595">
        <v>9066</v>
      </c>
      <c r="AS9" s="595">
        <v>5807</v>
      </c>
      <c r="AT9" s="595">
        <v>6895</v>
      </c>
      <c r="AU9" s="595"/>
      <c r="AV9" s="595"/>
      <c r="AW9" s="595"/>
      <c r="AX9" s="595"/>
      <c r="AY9" s="595"/>
      <c r="AZ9" s="595"/>
      <c r="BA9" s="595">
        <v>64922</v>
      </c>
      <c r="BB9" s="595">
        <v>55541</v>
      </c>
      <c r="BC9" s="598">
        <f>BB9/(C9*182.5)*100</f>
        <v>60.866849315068492</v>
      </c>
      <c r="BD9" s="598">
        <f>BB9/(D9*182.5)*100</f>
        <v>45.153449046786712</v>
      </c>
      <c r="BE9" s="599">
        <f t="shared" si="5"/>
        <v>5.3829230471021514</v>
      </c>
      <c r="BF9" s="600">
        <v>5045</v>
      </c>
      <c r="BG9" s="600">
        <v>6468</v>
      </c>
      <c r="BH9" s="601">
        <f t="shared" si="6"/>
        <v>77.999381570810144</v>
      </c>
    </row>
    <row r="10" spans="1:62" ht="30" customHeight="1" x14ac:dyDescent="0.25">
      <c r="A10" s="592">
        <v>2</v>
      </c>
      <c r="B10" s="593" t="s">
        <v>315</v>
      </c>
      <c r="C10" s="594">
        <v>80</v>
      </c>
      <c r="D10" s="594">
        <v>80</v>
      </c>
      <c r="E10" s="594">
        <v>4300</v>
      </c>
      <c r="F10" s="595">
        <v>1568</v>
      </c>
      <c r="G10" s="594">
        <f>SUM(I10:T10)</f>
        <v>1383</v>
      </c>
      <c r="H10" s="596">
        <f t="shared" si="0"/>
        <v>32.162790697674417</v>
      </c>
      <c r="I10" s="595">
        <v>262</v>
      </c>
      <c r="J10" s="595">
        <v>224</v>
      </c>
      <c r="K10" s="595">
        <v>209</v>
      </c>
      <c r="L10" s="595">
        <v>249</v>
      </c>
      <c r="M10" s="595">
        <v>215</v>
      </c>
      <c r="N10" s="597">
        <v>224</v>
      </c>
      <c r="O10" s="595"/>
      <c r="P10" s="595"/>
      <c r="Q10" s="595"/>
      <c r="R10" s="595"/>
      <c r="S10" s="595"/>
      <c r="T10" s="595"/>
      <c r="U10" s="594">
        <v>1800</v>
      </c>
      <c r="V10" s="595">
        <v>663</v>
      </c>
      <c r="W10" s="594">
        <f>SUM(Y10:AJ10)</f>
        <v>712</v>
      </c>
      <c r="X10" s="596">
        <f t="shared" si="2"/>
        <v>39.555555555555557</v>
      </c>
      <c r="Y10" s="595">
        <v>136</v>
      </c>
      <c r="Z10" s="595">
        <v>153</v>
      </c>
      <c r="AA10" s="595">
        <v>128</v>
      </c>
      <c r="AB10" s="595">
        <v>129</v>
      </c>
      <c r="AC10" s="595">
        <v>84</v>
      </c>
      <c r="AD10" s="597">
        <v>82</v>
      </c>
      <c r="AE10" s="595"/>
      <c r="AF10" s="595"/>
      <c r="AG10" s="595"/>
      <c r="AH10" s="595"/>
      <c r="AI10" s="595"/>
      <c r="AJ10" s="595"/>
      <c r="AK10" s="594">
        <v>1500</v>
      </c>
      <c r="AL10" s="595">
        <v>754</v>
      </c>
      <c r="AM10" s="594">
        <f>SUM(AO10:AZ10)</f>
        <v>558</v>
      </c>
      <c r="AN10" s="596">
        <f t="shared" si="4"/>
        <v>37.200000000000003</v>
      </c>
      <c r="AO10" s="595">
        <v>109</v>
      </c>
      <c r="AP10" s="595">
        <v>62</v>
      </c>
      <c r="AQ10" s="595">
        <v>69</v>
      </c>
      <c r="AR10" s="595">
        <v>90</v>
      </c>
      <c r="AS10" s="595">
        <v>109</v>
      </c>
      <c r="AT10" s="595">
        <v>119</v>
      </c>
      <c r="AU10" s="595"/>
      <c r="AV10" s="595"/>
      <c r="AW10" s="595"/>
      <c r="AX10" s="595"/>
      <c r="AY10" s="595"/>
      <c r="AZ10" s="595"/>
      <c r="BA10" s="595">
        <v>6182</v>
      </c>
      <c r="BB10" s="595">
        <v>6742</v>
      </c>
      <c r="BC10" s="598">
        <f>BB10/(C10*182.5)*100</f>
        <v>46.178082191780824</v>
      </c>
      <c r="BD10" s="598">
        <f>BB10/(D10*182.5)*100</f>
        <v>46.178082191780824</v>
      </c>
      <c r="BE10" s="599">
        <f t="shared" si="5"/>
        <v>9.4691011235955056</v>
      </c>
      <c r="BF10" s="600">
        <v>392</v>
      </c>
      <c r="BG10" s="600">
        <v>755</v>
      </c>
      <c r="BH10" s="601">
        <f t="shared" si="6"/>
        <v>51.920529801324498</v>
      </c>
    </row>
    <row r="11" spans="1:62" ht="30" customHeight="1" x14ac:dyDescent="0.25">
      <c r="A11" s="592">
        <v>3</v>
      </c>
      <c r="B11" s="593" t="s">
        <v>316</v>
      </c>
      <c r="C11" s="594">
        <v>90</v>
      </c>
      <c r="D11" s="594">
        <v>120</v>
      </c>
      <c r="E11" s="594">
        <v>5500</v>
      </c>
      <c r="F11" s="595">
        <v>2568</v>
      </c>
      <c r="G11" s="594">
        <f>SUM(I11:T11)</f>
        <v>2299</v>
      </c>
      <c r="H11" s="596">
        <f t="shared" si="0"/>
        <v>41.8</v>
      </c>
      <c r="I11" s="595">
        <v>330</v>
      </c>
      <c r="J11" s="595">
        <v>198</v>
      </c>
      <c r="K11" s="595">
        <v>353</v>
      </c>
      <c r="L11" s="595">
        <v>472</v>
      </c>
      <c r="M11" s="595">
        <v>462</v>
      </c>
      <c r="N11" s="597">
        <v>484</v>
      </c>
      <c r="O11" s="595"/>
      <c r="P11" s="595"/>
      <c r="Q11" s="595"/>
      <c r="R11" s="595"/>
      <c r="S11" s="595"/>
      <c r="T11" s="595"/>
      <c r="U11" s="594">
        <v>2200</v>
      </c>
      <c r="V11" s="595">
        <v>805</v>
      </c>
      <c r="W11" s="594">
        <f>SUM(Y11:AJ11)</f>
        <v>973</v>
      </c>
      <c r="X11" s="596">
        <f t="shared" si="2"/>
        <v>44.227272727272727</v>
      </c>
      <c r="Y11" s="595">
        <v>76</v>
      </c>
      <c r="Z11" s="595">
        <v>107</v>
      </c>
      <c r="AA11" s="595">
        <v>128</v>
      </c>
      <c r="AB11" s="595">
        <v>177</v>
      </c>
      <c r="AC11" s="595">
        <v>212</v>
      </c>
      <c r="AD11" s="597">
        <v>273</v>
      </c>
      <c r="AE11" s="595"/>
      <c r="AF11" s="595"/>
      <c r="AG11" s="595"/>
      <c r="AH11" s="595"/>
      <c r="AI11" s="595"/>
      <c r="AJ11" s="595"/>
      <c r="AK11" s="594">
        <v>3000</v>
      </c>
      <c r="AL11" s="595">
        <v>1511</v>
      </c>
      <c r="AM11" s="594">
        <f>SUM(AO11:AZ11)</f>
        <v>1213</v>
      </c>
      <c r="AN11" s="596">
        <f t="shared" si="4"/>
        <v>40.43333333333333</v>
      </c>
      <c r="AO11" s="595">
        <v>229</v>
      </c>
      <c r="AP11" s="595">
        <v>86</v>
      </c>
      <c r="AQ11" s="595">
        <v>211</v>
      </c>
      <c r="AR11" s="595">
        <v>282</v>
      </c>
      <c r="AS11" s="595">
        <v>211</v>
      </c>
      <c r="AT11" s="595">
        <v>194</v>
      </c>
      <c r="AU11" s="595"/>
      <c r="AV11" s="595"/>
      <c r="AW11" s="595"/>
      <c r="AX11" s="595"/>
      <c r="AY11" s="595"/>
      <c r="AZ11" s="595"/>
      <c r="BA11" s="595">
        <v>10188</v>
      </c>
      <c r="BB11" s="595">
        <v>10994</v>
      </c>
      <c r="BC11" s="598">
        <f t="shared" ref="BC11:BC21" si="7">BB11/(C11*182.5)*100</f>
        <v>66.93455098934551</v>
      </c>
      <c r="BD11" s="598">
        <f t="shared" ref="BD11:BD21" si="8">BB11/(D11*182.5)*100</f>
        <v>50.200913242009136</v>
      </c>
      <c r="BE11" s="599">
        <f t="shared" si="5"/>
        <v>11.29907502569373</v>
      </c>
      <c r="BF11" s="600">
        <v>1211</v>
      </c>
      <c r="BG11" s="600">
        <v>1797</v>
      </c>
      <c r="BH11" s="601">
        <f t="shared" si="6"/>
        <v>67.39009460211463</v>
      </c>
    </row>
    <row r="12" spans="1:62" ht="30" customHeight="1" x14ac:dyDescent="0.25">
      <c r="A12" s="592">
        <v>4</v>
      </c>
      <c r="B12" s="593" t="s">
        <v>317</v>
      </c>
      <c r="C12" s="594">
        <v>0</v>
      </c>
      <c r="D12" s="594"/>
      <c r="E12" s="594">
        <v>11000</v>
      </c>
      <c r="F12" s="595">
        <v>5270</v>
      </c>
      <c r="G12" s="594">
        <f>SUM(I12:T12)</f>
        <v>5291</v>
      </c>
      <c r="H12" s="596">
        <f t="shared" si="0"/>
        <v>48.1</v>
      </c>
      <c r="I12" s="595">
        <v>772</v>
      </c>
      <c r="J12" s="595">
        <v>664</v>
      </c>
      <c r="K12" s="595">
        <v>727</v>
      </c>
      <c r="L12" s="595">
        <v>938</v>
      </c>
      <c r="M12" s="595">
        <v>980</v>
      </c>
      <c r="N12" s="597">
        <v>1210</v>
      </c>
      <c r="O12" s="595"/>
      <c r="P12" s="595"/>
      <c r="Q12" s="595"/>
      <c r="R12" s="595"/>
      <c r="S12" s="595"/>
      <c r="T12" s="595"/>
      <c r="U12" s="594">
        <v>0</v>
      </c>
      <c r="V12" s="595"/>
      <c r="W12" s="594">
        <f>SUM(Y12:AJ12)</f>
        <v>0</v>
      </c>
      <c r="X12" s="596"/>
      <c r="Y12" s="595"/>
      <c r="Z12" s="595"/>
      <c r="AA12" s="595"/>
      <c r="AB12" s="595"/>
      <c r="AC12" s="595"/>
      <c r="AD12" s="597"/>
      <c r="AE12" s="595"/>
      <c r="AF12" s="595"/>
      <c r="AG12" s="595"/>
      <c r="AH12" s="595"/>
      <c r="AI12" s="595"/>
      <c r="AJ12" s="595"/>
      <c r="AK12" s="594">
        <v>10000</v>
      </c>
      <c r="AL12" s="595">
        <v>4873</v>
      </c>
      <c r="AM12" s="594">
        <f>SUM(AO12:AZ12)</f>
        <v>5000</v>
      </c>
      <c r="AN12" s="596">
        <f t="shared" si="4"/>
        <v>50</v>
      </c>
      <c r="AO12" s="595">
        <v>725</v>
      </c>
      <c r="AP12" s="595">
        <v>630</v>
      </c>
      <c r="AQ12" s="595">
        <v>691</v>
      </c>
      <c r="AR12" s="595">
        <v>886</v>
      </c>
      <c r="AS12" s="595">
        <v>937</v>
      </c>
      <c r="AT12" s="595">
        <v>1131</v>
      </c>
      <c r="AU12" s="595"/>
      <c r="AV12" s="595"/>
      <c r="AW12" s="595"/>
      <c r="AX12" s="595"/>
      <c r="AY12" s="595"/>
      <c r="AZ12" s="595"/>
      <c r="BA12" s="595"/>
      <c r="BB12" s="595"/>
      <c r="BC12" s="598"/>
      <c r="BD12" s="598"/>
      <c r="BE12" s="599"/>
      <c r="BF12" s="600"/>
      <c r="BG12" s="600"/>
      <c r="BH12" s="601"/>
    </row>
    <row r="13" spans="1:62" s="544" customFormat="1" ht="30" customHeight="1" x14ac:dyDescent="0.2">
      <c r="A13" s="574" t="s">
        <v>101</v>
      </c>
      <c r="B13" s="575" t="s">
        <v>318</v>
      </c>
      <c r="C13" s="576">
        <f>SUM(C14:C21)</f>
        <v>920</v>
      </c>
      <c r="D13" s="576">
        <f>SUM(D14:D21)</f>
        <v>1327</v>
      </c>
      <c r="E13" s="576">
        <f>SUM(E14:E21)</f>
        <v>1027500</v>
      </c>
      <c r="F13" s="576">
        <f>SUM(F14:F21)</f>
        <v>444870</v>
      </c>
      <c r="G13" s="576">
        <f>SUM(G14:G21)</f>
        <v>380201.8</v>
      </c>
      <c r="H13" s="577">
        <f t="shared" si="0"/>
        <v>37.00260827250608</v>
      </c>
      <c r="I13" s="576">
        <f t="shared" ref="I13:T13" si="9">SUM(I14:I21)</f>
        <v>51924</v>
      </c>
      <c r="J13" s="576">
        <f t="shared" si="9"/>
        <v>41661.800000000003</v>
      </c>
      <c r="K13" s="576">
        <f t="shared" si="9"/>
        <v>77402</v>
      </c>
      <c r="L13" s="576">
        <f t="shared" si="9"/>
        <v>60203</v>
      </c>
      <c r="M13" s="576">
        <f t="shared" si="9"/>
        <v>66219</v>
      </c>
      <c r="N13" s="576">
        <f t="shared" si="9"/>
        <v>74313</v>
      </c>
      <c r="O13" s="576">
        <f t="shared" si="9"/>
        <v>3968</v>
      </c>
      <c r="P13" s="576">
        <f t="shared" si="9"/>
        <v>4511</v>
      </c>
      <c r="Q13" s="576">
        <f t="shared" si="9"/>
        <v>0</v>
      </c>
      <c r="R13" s="576">
        <f t="shared" si="9"/>
        <v>0</v>
      </c>
      <c r="S13" s="576">
        <f t="shared" si="9"/>
        <v>0</v>
      </c>
      <c r="T13" s="576">
        <f t="shared" si="9"/>
        <v>0</v>
      </c>
      <c r="U13" s="576">
        <f>SUM(U14:U21)</f>
        <v>50620</v>
      </c>
      <c r="V13" s="576">
        <f>SUM(V14:V21)</f>
        <v>21990</v>
      </c>
      <c r="W13" s="576">
        <f>SUM(W14:W21)</f>
        <v>18208</v>
      </c>
      <c r="X13" s="577">
        <f t="shared" si="2"/>
        <v>35.969972342947457</v>
      </c>
      <c r="Y13" s="576">
        <f t="shared" ref="Y13:AJ13" si="10">SUM(Y14:Y21)</f>
        <v>2535</v>
      </c>
      <c r="Z13" s="576">
        <f t="shared" si="10"/>
        <v>2616</v>
      </c>
      <c r="AA13" s="576">
        <f t="shared" si="10"/>
        <v>3958</v>
      </c>
      <c r="AB13" s="576">
        <f t="shared" si="10"/>
        <v>2894</v>
      </c>
      <c r="AC13" s="576">
        <f t="shared" si="10"/>
        <v>2965</v>
      </c>
      <c r="AD13" s="576">
        <f t="shared" si="10"/>
        <v>3240</v>
      </c>
      <c r="AE13" s="576">
        <f t="shared" si="10"/>
        <v>0</v>
      </c>
      <c r="AF13" s="576">
        <f t="shared" si="10"/>
        <v>0</v>
      </c>
      <c r="AG13" s="576">
        <f t="shared" si="10"/>
        <v>0</v>
      </c>
      <c r="AH13" s="576">
        <f t="shared" si="10"/>
        <v>0</v>
      </c>
      <c r="AI13" s="576">
        <f t="shared" si="10"/>
        <v>0</v>
      </c>
      <c r="AJ13" s="576">
        <f t="shared" si="10"/>
        <v>0</v>
      </c>
      <c r="AK13" s="576">
        <f>SUM(AK14:AK21)</f>
        <v>470000</v>
      </c>
      <c r="AL13" s="576">
        <f>SUM(AL14:AL21)</f>
        <v>203906</v>
      </c>
      <c r="AM13" s="576">
        <f t="shared" ref="AM13:BA13" si="11">SUM(AM14:AM21)</f>
        <v>167367</v>
      </c>
      <c r="AN13" s="577">
        <f t="shared" si="4"/>
        <v>35.61</v>
      </c>
      <c r="AO13" s="576">
        <f t="shared" si="11"/>
        <v>27042</v>
      </c>
      <c r="AP13" s="576">
        <f t="shared" si="11"/>
        <v>20268</v>
      </c>
      <c r="AQ13" s="576">
        <f t="shared" si="11"/>
        <v>40575</v>
      </c>
      <c r="AR13" s="576">
        <f t="shared" si="11"/>
        <v>26564</v>
      </c>
      <c r="AS13" s="576">
        <f t="shared" si="11"/>
        <v>27042</v>
      </c>
      <c r="AT13" s="576">
        <f t="shared" si="11"/>
        <v>25876</v>
      </c>
      <c r="AU13" s="576">
        <f t="shared" si="11"/>
        <v>0</v>
      </c>
      <c r="AV13" s="576">
        <f t="shared" si="11"/>
        <v>0</v>
      </c>
      <c r="AW13" s="576">
        <f t="shared" si="11"/>
        <v>0</v>
      </c>
      <c r="AX13" s="576">
        <f t="shared" si="11"/>
        <v>0</v>
      </c>
      <c r="AY13" s="576">
        <f t="shared" si="11"/>
        <v>0</v>
      </c>
      <c r="AZ13" s="576">
        <f t="shared" si="11"/>
        <v>0</v>
      </c>
      <c r="BA13" s="576">
        <f t="shared" si="11"/>
        <v>126086</v>
      </c>
      <c r="BB13" s="576">
        <f>SUM(BB14:BB21)</f>
        <v>106074</v>
      </c>
      <c r="BC13" s="578">
        <f t="shared" si="7"/>
        <v>63.176891006551514</v>
      </c>
      <c r="BD13" s="578">
        <f t="shared" si="8"/>
        <v>43.800105294670232</v>
      </c>
      <c r="BE13" s="579">
        <f t="shared" si="5"/>
        <v>5.825681019332162</v>
      </c>
      <c r="BF13" s="581">
        <f>SUM(BF14:BF21)</f>
        <v>11038</v>
      </c>
      <c r="BG13" s="581">
        <f>SUM(BG14:BG21)</f>
        <v>13361</v>
      </c>
      <c r="BH13" s="580">
        <f t="shared" si="6"/>
        <v>82.613576828081719</v>
      </c>
    </row>
    <row r="14" spans="1:62" ht="30" customHeight="1" x14ac:dyDescent="0.25">
      <c r="A14" s="592">
        <v>1</v>
      </c>
      <c r="B14" s="593" t="s">
        <v>319</v>
      </c>
      <c r="C14" s="594">
        <v>150</v>
      </c>
      <c r="D14" s="594">
        <v>204</v>
      </c>
      <c r="E14" s="594">
        <v>100000</v>
      </c>
      <c r="F14" s="595">
        <v>39898</v>
      </c>
      <c r="G14" s="594">
        <f>SUM(I14:T14)</f>
        <v>33781</v>
      </c>
      <c r="H14" s="596">
        <f t="shared" si="0"/>
        <v>33.780999999999999</v>
      </c>
      <c r="I14" s="595">
        <v>4413</v>
      </c>
      <c r="J14" s="595">
        <v>4476</v>
      </c>
      <c r="K14" s="595">
        <v>6886</v>
      </c>
      <c r="L14" s="595">
        <v>4936</v>
      </c>
      <c r="M14" s="595">
        <v>6554</v>
      </c>
      <c r="N14" s="597">
        <v>6516</v>
      </c>
      <c r="O14" s="595"/>
      <c r="P14" s="595"/>
      <c r="Q14" s="595"/>
      <c r="R14" s="595"/>
      <c r="S14" s="595"/>
      <c r="T14" s="595"/>
      <c r="U14" s="594">
        <v>7500</v>
      </c>
      <c r="V14" s="595">
        <v>2767</v>
      </c>
      <c r="W14" s="594">
        <f>SUM(Y14:AJ14)</f>
        <v>1895</v>
      </c>
      <c r="X14" s="596">
        <f t="shared" si="2"/>
        <v>25.266666666666666</v>
      </c>
      <c r="Y14" s="595">
        <v>239</v>
      </c>
      <c r="Z14" s="595">
        <v>284</v>
      </c>
      <c r="AA14" s="595">
        <v>325</v>
      </c>
      <c r="AB14" s="595">
        <v>318</v>
      </c>
      <c r="AC14" s="595">
        <v>354</v>
      </c>
      <c r="AD14" s="597">
        <v>375</v>
      </c>
      <c r="AE14" s="595"/>
      <c r="AF14" s="595"/>
      <c r="AG14" s="595"/>
      <c r="AH14" s="595"/>
      <c r="AI14" s="595"/>
      <c r="AJ14" s="595"/>
      <c r="AK14" s="594">
        <v>60000</v>
      </c>
      <c r="AL14" s="595">
        <v>28697</v>
      </c>
      <c r="AM14" s="594">
        <f>SUM(AO14:AZ14)</f>
        <v>24529</v>
      </c>
      <c r="AN14" s="596">
        <f t="shared" si="4"/>
        <v>40.881666666666668</v>
      </c>
      <c r="AO14" s="595">
        <v>3825</v>
      </c>
      <c r="AP14" s="595">
        <v>3039</v>
      </c>
      <c r="AQ14" s="595">
        <v>5607</v>
      </c>
      <c r="AR14" s="595">
        <v>3697</v>
      </c>
      <c r="AS14" s="595">
        <v>4376</v>
      </c>
      <c r="AT14" s="595">
        <v>3985</v>
      </c>
      <c r="AU14" s="595"/>
      <c r="AV14" s="595"/>
      <c r="AW14" s="595"/>
      <c r="AX14" s="595"/>
      <c r="AY14" s="595"/>
      <c r="AZ14" s="595"/>
      <c r="BA14" s="595">
        <v>18182</v>
      </c>
      <c r="BB14" s="595">
        <v>10982</v>
      </c>
      <c r="BC14" s="598">
        <f t="shared" si="7"/>
        <v>40.116894977168947</v>
      </c>
      <c r="BD14" s="598">
        <f t="shared" si="8"/>
        <v>29.497716894977167</v>
      </c>
      <c r="BE14" s="599">
        <f t="shared" si="5"/>
        <v>5.7952506596306073</v>
      </c>
      <c r="BF14" s="600">
        <v>917</v>
      </c>
      <c r="BG14" s="600">
        <v>1248</v>
      </c>
      <c r="BH14" s="601">
        <f t="shared" si="6"/>
        <v>73.477564102564102</v>
      </c>
    </row>
    <row r="15" spans="1:62" ht="30" customHeight="1" x14ac:dyDescent="0.25">
      <c r="A15" s="592">
        <v>2</v>
      </c>
      <c r="B15" s="593" t="s">
        <v>320</v>
      </c>
      <c r="C15" s="594">
        <v>140</v>
      </c>
      <c r="D15" s="594">
        <v>229</v>
      </c>
      <c r="E15" s="594">
        <v>200000</v>
      </c>
      <c r="F15" s="595">
        <v>93187</v>
      </c>
      <c r="G15" s="594">
        <f>SUM(I15:T15)</f>
        <v>83857</v>
      </c>
      <c r="H15" s="596">
        <f t="shared" si="0"/>
        <v>41.9285</v>
      </c>
      <c r="I15" s="595">
        <v>13384</v>
      </c>
      <c r="J15" s="595">
        <v>12175</v>
      </c>
      <c r="K15" s="595">
        <v>16392</v>
      </c>
      <c r="L15" s="595">
        <v>14569</v>
      </c>
      <c r="M15" s="595">
        <v>13663</v>
      </c>
      <c r="N15" s="597">
        <v>13674</v>
      </c>
      <c r="O15" s="595"/>
      <c r="P15" s="595"/>
      <c r="Q15" s="595"/>
      <c r="R15" s="595"/>
      <c r="S15" s="595"/>
      <c r="T15" s="595"/>
      <c r="U15" s="594">
        <v>8300</v>
      </c>
      <c r="V15" s="595">
        <v>3602</v>
      </c>
      <c r="W15" s="594">
        <f>SUM(Y15:AJ15)</f>
        <v>3058</v>
      </c>
      <c r="X15" s="596">
        <f t="shared" si="2"/>
        <v>36.843373493975903</v>
      </c>
      <c r="Y15" s="595">
        <v>452</v>
      </c>
      <c r="Z15" s="595">
        <v>521</v>
      </c>
      <c r="AA15" s="595">
        <v>537</v>
      </c>
      <c r="AB15" s="595">
        <v>444</v>
      </c>
      <c r="AC15" s="595">
        <v>517</v>
      </c>
      <c r="AD15" s="597">
        <v>587</v>
      </c>
      <c r="AE15" s="595"/>
      <c r="AF15" s="595"/>
      <c r="AG15" s="595"/>
      <c r="AH15" s="595"/>
      <c r="AI15" s="595"/>
      <c r="AJ15" s="595"/>
      <c r="AK15" s="594">
        <v>90000</v>
      </c>
      <c r="AL15" s="595">
        <v>44683</v>
      </c>
      <c r="AM15" s="594">
        <f>SUM(AO15:AZ15)</f>
        <v>38890</v>
      </c>
      <c r="AN15" s="596">
        <f>AM15/AK15*100</f>
        <v>43.211111111111109</v>
      </c>
      <c r="AO15" s="595">
        <v>7410</v>
      </c>
      <c r="AP15" s="595">
        <v>5327</v>
      </c>
      <c r="AQ15" s="595">
        <v>8244</v>
      </c>
      <c r="AR15" s="595">
        <v>6900</v>
      </c>
      <c r="AS15" s="595">
        <v>5890</v>
      </c>
      <c r="AT15" s="595">
        <v>5119</v>
      </c>
      <c r="AU15" s="595"/>
      <c r="AV15" s="595"/>
      <c r="AW15" s="595"/>
      <c r="AX15" s="595"/>
      <c r="AY15" s="595"/>
      <c r="AZ15" s="595"/>
      <c r="BA15" s="595">
        <v>24052</v>
      </c>
      <c r="BB15" s="595">
        <v>18823</v>
      </c>
      <c r="BC15" s="598">
        <f>BA15/(D15*182.5)*100</f>
        <v>57.55099599210385</v>
      </c>
      <c r="BD15" s="598">
        <f t="shared" si="8"/>
        <v>45.039181671352516</v>
      </c>
      <c r="BE15" s="599">
        <f t="shared" si="5"/>
        <v>6.1553302812295616</v>
      </c>
      <c r="BF15" s="600">
        <v>885</v>
      </c>
      <c r="BG15" s="600">
        <v>1243</v>
      </c>
      <c r="BH15" s="601">
        <f t="shared" si="6"/>
        <v>71.198712791633142</v>
      </c>
      <c r="BJ15" s="546"/>
    </row>
    <row r="16" spans="1:62" ht="30" customHeight="1" x14ac:dyDescent="0.25">
      <c r="A16" s="592">
        <v>3</v>
      </c>
      <c r="B16" s="593" t="s">
        <v>321</v>
      </c>
      <c r="C16" s="594">
        <v>130</v>
      </c>
      <c r="D16" s="594">
        <v>190</v>
      </c>
      <c r="E16" s="594">
        <v>187000</v>
      </c>
      <c r="F16" s="595">
        <v>89867</v>
      </c>
      <c r="G16" s="594">
        <f t="shared" ref="G16:G21" si="12">SUM(I16:T16)</f>
        <v>53043</v>
      </c>
      <c r="H16" s="596">
        <f t="shared" si="0"/>
        <v>28.365240641711232</v>
      </c>
      <c r="I16" s="595">
        <v>7713</v>
      </c>
      <c r="J16" s="595">
        <v>5337</v>
      </c>
      <c r="K16" s="595">
        <v>6858</v>
      </c>
      <c r="L16" s="595">
        <v>9160</v>
      </c>
      <c r="M16" s="595">
        <v>11492</v>
      </c>
      <c r="N16" s="597">
        <v>12483</v>
      </c>
      <c r="O16" s="595"/>
      <c r="P16" s="595"/>
      <c r="Q16" s="595"/>
      <c r="R16" s="595"/>
      <c r="S16" s="595"/>
      <c r="T16" s="595"/>
      <c r="U16" s="594">
        <v>7500</v>
      </c>
      <c r="V16" s="595">
        <v>3518</v>
      </c>
      <c r="W16" s="594">
        <f t="shared" ref="W16:W21" si="13">SUM(Y16:AJ16)</f>
        <v>2414</v>
      </c>
      <c r="X16" s="596">
        <f t="shared" si="2"/>
        <v>32.186666666666667</v>
      </c>
      <c r="Y16" s="595">
        <v>340</v>
      </c>
      <c r="Z16" s="595">
        <v>290</v>
      </c>
      <c r="AA16" s="595">
        <v>569</v>
      </c>
      <c r="AB16" s="595">
        <v>409</v>
      </c>
      <c r="AC16" s="595">
        <v>428</v>
      </c>
      <c r="AD16" s="597">
        <v>378</v>
      </c>
      <c r="AE16" s="595"/>
      <c r="AF16" s="595"/>
      <c r="AG16" s="595"/>
      <c r="AH16" s="595"/>
      <c r="AI16" s="595"/>
      <c r="AJ16" s="595"/>
      <c r="AK16" s="594">
        <v>60000</v>
      </c>
      <c r="AL16" s="595">
        <v>28565</v>
      </c>
      <c r="AM16" s="594">
        <f t="shared" ref="AM16:AM21" si="14">SUM(AO16:AZ16)</f>
        <v>17041</v>
      </c>
      <c r="AN16" s="596">
        <f t="shared" si="4"/>
        <v>28.401666666666667</v>
      </c>
      <c r="AO16" s="595">
        <v>3283</v>
      </c>
      <c r="AP16" s="595">
        <v>2154</v>
      </c>
      <c r="AQ16" s="595">
        <v>3362</v>
      </c>
      <c r="AR16" s="595">
        <v>2573</v>
      </c>
      <c r="AS16" s="595">
        <v>2941</v>
      </c>
      <c r="AT16" s="595">
        <v>2728</v>
      </c>
      <c r="AU16" s="595"/>
      <c r="AV16" s="595"/>
      <c r="AW16" s="595"/>
      <c r="AX16" s="595"/>
      <c r="AY16" s="595"/>
      <c r="AZ16" s="595"/>
      <c r="BA16" s="595">
        <v>16848</v>
      </c>
      <c r="BB16" s="595">
        <v>12425</v>
      </c>
      <c r="BC16" s="598">
        <f t="shared" si="7"/>
        <v>52.370916754478401</v>
      </c>
      <c r="BD16" s="598">
        <f t="shared" si="8"/>
        <v>35.832732516222059</v>
      </c>
      <c r="BE16" s="599">
        <f t="shared" si="5"/>
        <v>5.1470588235294121</v>
      </c>
      <c r="BF16" s="600">
        <v>1624</v>
      </c>
      <c r="BG16" s="600">
        <v>1900</v>
      </c>
      <c r="BH16" s="601">
        <f t="shared" si="6"/>
        <v>85.473684210526315</v>
      </c>
    </row>
    <row r="17" spans="1:60" ht="30" customHeight="1" x14ac:dyDescent="0.25">
      <c r="A17" s="592">
        <v>4</v>
      </c>
      <c r="B17" s="593" t="s">
        <v>322</v>
      </c>
      <c r="C17" s="594">
        <v>110</v>
      </c>
      <c r="D17" s="594">
        <v>125</v>
      </c>
      <c r="E17" s="594">
        <v>145000</v>
      </c>
      <c r="F17" s="595">
        <v>66545</v>
      </c>
      <c r="G17" s="594">
        <f t="shared" si="12"/>
        <v>68134</v>
      </c>
      <c r="H17" s="596">
        <f t="shared" si="0"/>
        <v>46.988965517241375</v>
      </c>
      <c r="I17" s="595">
        <v>9188</v>
      </c>
      <c r="J17" s="595">
        <v>7840</v>
      </c>
      <c r="K17" s="595">
        <v>12487</v>
      </c>
      <c r="L17" s="595">
        <v>11532</v>
      </c>
      <c r="M17" s="595">
        <v>13633</v>
      </c>
      <c r="N17" s="597">
        <v>13454</v>
      </c>
      <c r="O17" s="595"/>
      <c r="P17" s="595"/>
      <c r="Q17" s="595"/>
      <c r="R17" s="595"/>
      <c r="S17" s="595"/>
      <c r="T17" s="595"/>
      <c r="U17" s="594">
        <v>6400</v>
      </c>
      <c r="V17" s="595">
        <v>2602</v>
      </c>
      <c r="W17" s="594">
        <f t="shared" si="13"/>
        <v>2351</v>
      </c>
      <c r="X17" s="596">
        <f t="shared" si="2"/>
        <v>36.734375</v>
      </c>
      <c r="Y17" s="595">
        <v>386</v>
      </c>
      <c r="Z17" s="595">
        <v>337</v>
      </c>
      <c r="AA17" s="595">
        <v>424</v>
      </c>
      <c r="AB17" s="595">
        <v>380</v>
      </c>
      <c r="AC17" s="595">
        <v>391</v>
      </c>
      <c r="AD17" s="597">
        <v>433</v>
      </c>
      <c r="AE17" s="595"/>
      <c r="AF17" s="595"/>
      <c r="AG17" s="595"/>
      <c r="AH17" s="595"/>
      <c r="AI17" s="595"/>
      <c r="AJ17" s="595"/>
      <c r="AK17" s="594">
        <v>66000</v>
      </c>
      <c r="AL17" s="595">
        <v>28952</v>
      </c>
      <c r="AM17" s="594">
        <f t="shared" si="14"/>
        <v>27413</v>
      </c>
      <c r="AN17" s="596">
        <f t="shared" si="4"/>
        <v>41.534848484848482</v>
      </c>
      <c r="AO17" s="595">
        <v>3871</v>
      </c>
      <c r="AP17" s="595">
        <v>3151</v>
      </c>
      <c r="AQ17" s="595">
        <v>7193</v>
      </c>
      <c r="AR17" s="595">
        <v>4133</v>
      </c>
      <c r="AS17" s="595">
        <v>4853</v>
      </c>
      <c r="AT17" s="595">
        <v>4212</v>
      </c>
      <c r="AU17" s="595"/>
      <c r="AV17" s="595"/>
      <c r="AW17" s="595"/>
      <c r="AX17" s="595"/>
      <c r="AY17" s="595"/>
      <c r="AZ17" s="595"/>
      <c r="BA17" s="595">
        <v>15639</v>
      </c>
      <c r="BB17" s="595">
        <v>15862</v>
      </c>
      <c r="BC17" s="598">
        <f t="shared" si="7"/>
        <v>79.013698630136986</v>
      </c>
      <c r="BD17" s="598">
        <f t="shared" si="8"/>
        <v>69.532054794520548</v>
      </c>
      <c r="BE17" s="599">
        <f t="shared" si="5"/>
        <v>6.7469162058698426</v>
      </c>
      <c r="BF17" s="600">
        <v>2523</v>
      </c>
      <c r="BG17" s="600">
        <v>2601</v>
      </c>
      <c r="BH17" s="601">
        <f t="shared" si="6"/>
        <v>97.001153402537483</v>
      </c>
    </row>
    <row r="18" spans="1:60" ht="30" customHeight="1" x14ac:dyDescent="0.25">
      <c r="A18" s="592">
        <v>5</v>
      </c>
      <c r="B18" s="593" t="s">
        <v>323</v>
      </c>
      <c r="C18" s="594">
        <v>190</v>
      </c>
      <c r="D18" s="594">
        <v>289</v>
      </c>
      <c r="E18" s="594">
        <v>175000</v>
      </c>
      <c r="F18" s="595">
        <v>64986</v>
      </c>
      <c r="G18" s="594">
        <f t="shared" si="12"/>
        <v>42709</v>
      </c>
      <c r="H18" s="596">
        <f t="shared" si="0"/>
        <v>24.405142857142856</v>
      </c>
      <c r="I18" s="595">
        <v>6620</v>
      </c>
      <c r="J18" s="595">
        <v>4743</v>
      </c>
      <c r="K18" s="595">
        <v>7097</v>
      </c>
      <c r="L18" s="595">
        <v>5628</v>
      </c>
      <c r="M18" s="595">
        <v>7328</v>
      </c>
      <c r="N18" s="597">
        <v>11293</v>
      </c>
      <c r="O18" s="595"/>
      <c r="P18" s="595"/>
      <c r="Q18" s="595"/>
      <c r="R18" s="595"/>
      <c r="S18" s="595"/>
      <c r="T18" s="595"/>
      <c r="U18" s="594">
        <v>10800</v>
      </c>
      <c r="V18" s="595">
        <v>4827</v>
      </c>
      <c r="W18" s="594">
        <f t="shared" si="13"/>
        <v>4468</v>
      </c>
      <c r="X18" s="596">
        <f t="shared" si="2"/>
        <v>41.370370370370367</v>
      </c>
      <c r="Y18" s="595">
        <v>673</v>
      </c>
      <c r="Z18" s="595">
        <v>512</v>
      </c>
      <c r="AA18" s="595">
        <v>919</v>
      </c>
      <c r="AB18" s="595">
        <v>699</v>
      </c>
      <c r="AC18" s="595">
        <v>788</v>
      </c>
      <c r="AD18" s="597">
        <v>877</v>
      </c>
      <c r="AE18" s="595"/>
      <c r="AF18" s="595"/>
      <c r="AG18" s="595"/>
      <c r="AH18" s="595"/>
      <c r="AI18" s="595"/>
      <c r="AJ18" s="595"/>
      <c r="AK18" s="594">
        <v>85000</v>
      </c>
      <c r="AL18" s="595">
        <v>27725</v>
      </c>
      <c r="AM18" s="594">
        <f t="shared" si="14"/>
        <v>18437</v>
      </c>
      <c r="AN18" s="596">
        <f t="shared" si="4"/>
        <v>21.690588235294118</v>
      </c>
      <c r="AO18" s="595">
        <v>3073</v>
      </c>
      <c r="AP18" s="595">
        <v>2275</v>
      </c>
      <c r="AQ18" s="595">
        <v>3398</v>
      </c>
      <c r="AR18" s="595">
        <v>3136</v>
      </c>
      <c r="AS18" s="595">
        <v>2811</v>
      </c>
      <c r="AT18" s="595">
        <v>3744</v>
      </c>
      <c r="AU18" s="595"/>
      <c r="AV18" s="595"/>
      <c r="AW18" s="595"/>
      <c r="AX18" s="595"/>
      <c r="AY18" s="595"/>
      <c r="AZ18" s="595"/>
      <c r="BA18" s="595">
        <v>27257</v>
      </c>
      <c r="BB18" s="595">
        <v>25093</v>
      </c>
      <c r="BC18" s="598">
        <f t="shared" si="7"/>
        <v>72.366258111031001</v>
      </c>
      <c r="BD18" s="598">
        <f t="shared" si="8"/>
        <v>47.576432668151867</v>
      </c>
      <c r="BE18" s="599">
        <f t="shared" si="5"/>
        <v>5.6161593554162934</v>
      </c>
      <c r="BF18" s="600">
        <v>2305</v>
      </c>
      <c r="BG18" s="600">
        <v>3012</v>
      </c>
      <c r="BH18" s="601">
        <f t="shared" si="6"/>
        <v>76.527224435590966</v>
      </c>
    </row>
    <row r="19" spans="1:60" ht="30" customHeight="1" x14ac:dyDescent="0.25">
      <c r="A19" s="592">
        <v>6</v>
      </c>
      <c r="B19" s="593" t="s">
        <v>324</v>
      </c>
      <c r="C19" s="594">
        <v>120</v>
      </c>
      <c r="D19" s="594">
        <v>180</v>
      </c>
      <c r="E19" s="594">
        <v>130000</v>
      </c>
      <c r="F19" s="595">
        <v>48172</v>
      </c>
      <c r="G19" s="594">
        <f t="shared" si="12"/>
        <v>46357</v>
      </c>
      <c r="H19" s="596">
        <f t="shared" si="0"/>
        <v>35.659230769230774</v>
      </c>
      <c r="I19" s="595">
        <v>4572</v>
      </c>
      <c r="J19" s="595">
        <v>4604</v>
      </c>
      <c r="K19" s="595">
        <v>13333</v>
      </c>
      <c r="L19" s="595">
        <v>5648</v>
      </c>
      <c r="M19" s="595">
        <v>7744</v>
      </c>
      <c r="N19" s="597">
        <v>10456</v>
      </c>
      <c r="O19" s="595"/>
      <c r="P19" s="595"/>
      <c r="Q19" s="595"/>
      <c r="R19" s="595"/>
      <c r="S19" s="595"/>
      <c r="T19" s="595"/>
      <c r="U19" s="594">
        <v>6300</v>
      </c>
      <c r="V19" s="595">
        <v>3288</v>
      </c>
      <c r="W19" s="594">
        <f t="shared" si="13"/>
        <v>3125</v>
      </c>
      <c r="X19" s="596">
        <f t="shared" si="2"/>
        <v>49.603174603174608</v>
      </c>
      <c r="Y19" s="595">
        <v>332</v>
      </c>
      <c r="Z19" s="595">
        <v>469</v>
      </c>
      <c r="AA19" s="595">
        <v>1006</v>
      </c>
      <c r="AB19" s="595">
        <v>548</v>
      </c>
      <c r="AC19" s="595">
        <v>388</v>
      </c>
      <c r="AD19" s="597">
        <v>382</v>
      </c>
      <c r="AE19" s="595"/>
      <c r="AF19" s="595"/>
      <c r="AG19" s="595"/>
      <c r="AH19" s="595"/>
      <c r="AI19" s="595"/>
      <c r="AJ19" s="595"/>
      <c r="AK19" s="594">
        <v>60000</v>
      </c>
      <c r="AL19" s="595">
        <v>27725</v>
      </c>
      <c r="AM19" s="594">
        <f t="shared" si="14"/>
        <v>21263</v>
      </c>
      <c r="AN19" s="596">
        <f t="shared" si="4"/>
        <v>35.438333333333333</v>
      </c>
      <c r="AO19" s="595">
        <v>2123</v>
      </c>
      <c r="AP19" s="595">
        <v>1613</v>
      </c>
      <c r="AQ19" s="595">
        <v>9220</v>
      </c>
      <c r="AR19" s="595">
        <v>2543</v>
      </c>
      <c r="AS19" s="595">
        <v>2811</v>
      </c>
      <c r="AT19" s="595">
        <v>2953</v>
      </c>
      <c r="AU19" s="595"/>
      <c r="AV19" s="595"/>
      <c r="AW19" s="595"/>
      <c r="AX19" s="595"/>
      <c r="AY19" s="595"/>
      <c r="AZ19" s="595"/>
      <c r="BA19" s="595">
        <v>16364</v>
      </c>
      <c r="BB19" s="595">
        <v>17664</v>
      </c>
      <c r="BC19" s="598">
        <f t="shared" si="7"/>
        <v>80.657534246575352</v>
      </c>
      <c r="BD19" s="598">
        <f t="shared" si="8"/>
        <v>53.771689497716892</v>
      </c>
      <c r="BE19" s="599">
        <f t="shared" si="5"/>
        <v>5.6524799999999997</v>
      </c>
      <c r="BF19" s="600">
        <v>2179</v>
      </c>
      <c r="BG19" s="600">
        <v>2424</v>
      </c>
      <c r="BH19" s="601">
        <f t="shared" si="6"/>
        <v>89.89273927392739</v>
      </c>
    </row>
    <row r="20" spans="1:60" ht="30" customHeight="1" x14ac:dyDescent="0.25">
      <c r="A20" s="592">
        <v>7</v>
      </c>
      <c r="B20" s="593" t="s">
        <v>325</v>
      </c>
      <c r="C20" s="594">
        <v>30</v>
      </c>
      <c r="D20" s="594">
        <v>30</v>
      </c>
      <c r="E20" s="594">
        <v>35500</v>
      </c>
      <c r="F20" s="595">
        <v>16321</v>
      </c>
      <c r="G20" s="594">
        <f t="shared" si="12"/>
        <v>27379</v>
      </c>
      <c r="H20" s="596">
        <f t="shared" si="0"/>
        <v>77.123943661971822</v>
      </c>
      <c r="I20" s="595">
        <v>2620</v>
      </c>
      <c r="J20" s="595">
        <v>2480</v>
      </c>
      <c r="K20" s="595">
        <v>10935</v>
      </c>
      <c r="L20" s="595">
        <v>5282</v>
      </c>
      <c r="M20" s="595">
        <v>3139</v>
      </c>
      <c r="N20" s="597">
        <v>2923</v>
      </c>
      <c r="O20" s="595"/>
      <c r="P20" s="595"/>
      <c r="Q20" s="595"/>
      <c r="R20" s="595"/>
      <c r="S20" s="595"/>
      <c r="T20" s="595"/>
      <c r="U20" s="594">
        <v>1020</v>
      </c>
      <c r="V20" s="595"/>
      <c r="W20" s="594">
        <f t="shared" si="13"/>
        <v>196</v>
      </c>
      <c r="X20" s="596">
        <f t="shared" si="2"/>
        <v>19.215686274509807</v>
      </c>
      <c r="Y20" s="595">
        <v>1</v>
      </c>
      <c r="Z20" s="595">
        <v>2</v>
      </c>
      <c r="AA20" s="595">
        <v>100</v>
      </c>
      <c r="AB20" s="595">
        <v>32</v>
      </c>
      <c r="AC20" s="595">
        <v>6</v>
      </c>
      <c r="AD20" s="597">
        <v>55</v>
      </c>
      <c r="AE20" s="595"/>
      <c r="AF20" s="595"/>
      <c r="AG20" s="595"/>
      <c r="AH20" s="595"/>
      <c r="AI20" s="595"/>
      <c r="AJ20" s="595"/>
      <c r="AK20" s="594">
        <v>14000</v>
      </c>
      <c r="AL20" s="595">
        <v>17559</v>
      </c>
      <c r="AM20" s="594">
        <f t="shared" si="14"/>
        <v>7498</v>
      </c>
      <c r="AN20" s="596">
        <f t="shared" si="4"/>
        <v>53.557142857142857</v>
      </c>
      <c r="AO20" s="595">
        <v>1109</v>
      </c>
      <c r="AP20" s="595">
        <v>951</v>
      </c>
      <c r="AQ20" s="595">
        <v>1861</v>
      </c>
      <c r="AR20" s="595">
        <v>1322</v>
      </c>
      <c r="AS20" s="595">
        <v>1187</v>
      </c>
      <c r="AT20" s="595">
        <v>1068</v>
      </c>
      <c r="AU20" s="595"/>
      <c r="AV20" s="595"/>
      <c r="AW20" s="595"/>
      <c r="AX20" s="595"/>
      <c r="AY20" s="595"/>
      <c r="AZ20" s="595"/>
      <c r="BA20" s="595"/>
      <c r="BB20" s="595">
        <v>1276</v>
      </c>
      <c r="BC20" s="598">
        <f t="shared" si="7"/>
        <v>23.30593607305936</v>
      </c>
      <c r="BD20" s="598">
        <f t="shared" si="8"/>
        <v>23.30593607305936</v>
      </c>
      <c r="BE20" s="599">
        <f t="shared" si="5"/>
        <v>6.5102040816326534</v>
      </c>
      <c r="BF20" s="600">
        <v>227</v>
      </c>
      <c r="BG20" s="600">
        <v>257</v>
      </c>
      <c r="BH20" s="601">
        <f t="shared" si="6"/>
        <v>88.326848249027236</v>
      </c>
    </row>
    <row r="21" spans="1:60" ht="30" customHeight="1" x14ac:dyDescent="0.25">
      <c r="A21" s="592">
        <v>8</v>
      </c>
      <c r="B21" s="593" t="s">
        <v>326</v>
      </c>
      <c r="C21" s="594">
        <v>50</v>
      </c>
      <c r="D21" s="594">
        <v>80</v>
      </c>
      <c r="E21" s="594">
        <v>55000</v>
      </c>
      <c r="F21" s="595">
        <v>25894</v>
      </c>
      <c r="G21" s="594">
        <f t="shared" si="12"/>
        <v>24941.8</v>
      </c>
      <c r="H21" s="596">
        <f t="shared" si="0"/>
        <v>45.348727272727274</v>
      </c>
      <c r="I21" s="595">
        <v>3414</v>
      </c>
      <c r="J21" s="595">
        <v>6.8</v>
      </c>
      <c r="K21" s="595">
        <v>3414</v>
      </c>
      <c r="L21" s="595">
        <v>3448</v>
      </c>
      <c r="M21" s="595">
        <v>2666</v>
      </c>
      <c r="N21" s="597">
        <v>3514</v>
      </c>
      <c r="O21" s="595">
        <v>3968</v>
      </c>
      <c r="P21" s="595">
        <v>4511</v>
      </c>
      <c r="Q21" s="595"/>
      <c r="R21" s="595"/>
      <c r="S21" s="595"/>
      <c r="T21" s="595"/>
      <c r="U21" s="594">
        <v>2800</v>
      </c>
      <c r="V21" s="595">
        <v>1386</v>
      </c>
      <c r="W21" s="594">
        <f t="shared" si="13"/>
        <v>701</v>
      </c>
      <c r="X21" s="596">
        <f t="shared" si="2"/>
        <v>25.035714285714285</v>
      </c>
      <c r="Y21" s="595">
        <v>112</v>
      </c>
      <c r="Z21" s="595">
        <v>201</v>
      </c>
      <c r="AA21" s="595">
        <v>78</v>
      </c>
      <c r="AB21" s="595">
        <v>64</v>
      </c>
      <c r="AC21" s="595">
        <v>93</v>
      </c>
      <c r="AD21" s="597">
        <v>153</v>
      </c>
      <c r="AE21" s="595"/>
      <c r="AF21" s="595"/>
      <c r="AG21" s="595"/>
      <c r="AH21" s="595"/>
      <c r="AI21" s="595"/>
      <c r="AJ21" s="595"/>
      <c r="AK21" s="594">
        <v>35000</v>
      </c>
      <c r="AL21" s="595"/>
      <c r="AM21" s="594">
        <f t="shared" si="14"/>
        <v>12296</v>
      </c>
      <c r="AN21" s="596">
        <f t="shared" si="4"/>
        <v>35.131428571428572</v>
      </c>
      <c r="AO21" s="595">
        <v>2348</v>
      </c>
      <c r="AP21" s="595">
        <v>1758</v>
      </c>
      <c r="AQ21" s="595">
        <v>1690</v>
      </c>
      <c r="AR21" s="595">
        <v>2260</v>
      </c>
      <c r="AS21" s="595">
        <v>2173</v>
      </c>
      <c r="AT21" s="595">
        <v>2067</v>
      </c>
      <c r="AU21" s="595"/>
      <c r="AV21" s="595"/>
      <c r="AW21" s="595"/>
      <c r="AX21" s="595"/>
      <c r="AY21" s="595"/>
      <c r="AZ21" s="595"/>
      <c r="BA21" s="595">
        <v>7744</v>
      </c>
      <c r="BB21" s="595">
        <v>3949</v>
      </c>
      <c r="BC21" s="598">
        <f t="shared" si="7"/>
        <v>43.276712328767125</v>
      </c>
      <c r="BD21" s="598">
        <f t="shared" si="8"/>
        <v>27.047945205479451</v>
      </c>
      <c r="BE21" s="599">
        <f t="shared" si="5"/>
        <v>5.6333808844507844</v>
      </c>
      <c r="BF21" s="600">
        <v>378</v>
      </c>
      <c r="BG21" s="600">
        <v>676</v>
      </c>
      <c r="BH21" s="601">
        <f t="shared" si="6"/>
        <v>55.917159763313606</v>
      </c>
    </row>
    <row r="22" spans="1:60" ht="16.5" x14ac:dyDescent="0.35">
      <c r="A22" s="553"/>
      <c r="B22" s="547"/>
      <c r="C22" s="548"/>
      <c r="D22" s="548"/>
      <c r="E22" s="548"/>
      <c r="F22" s="549"/>
      <c r="G22" s="550"/>
      <c r="H22" s="551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48"/>
      <c r="V22" s="549"/>
      <c r="W22" s="553"/>
      <c r="X22" s="58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49"/>
      <c r="AL22" s="549"/>
      <c r="AM22" s="553"/>
      <c r="AN22" s="554"/>
      <c r="AO22" s="552"/>
      <c r="AP22" s="552"/>
      <c r="AQ22" s="552"/>
      <c r="AR22" s="552"/>
      <c r="AS22" s="552"/>
      <c r="AT22" s="552"/>
      <c r="AU22" s="555"/>
      <c r="AV22" s="555"/>
      <c r="AW22" s="555"/>
      <c r="AX22" s="555"/>
      <c r="AY22" s="555"/>
      <c r="AZ22" s="555"/>
      <c r="BA22" s="555"/>
      <c r="BB22" s="552"/>
      <c r="BC22" s="556"/>
      <c r="BD22" s="556"/>
      <c r="BE22" s="583"/>
      <c r="BF22" s="557"/>
      <c r="BG22" s="557"/>
      <c r="BH22" s="583"/>
    </row>
    <row r="23" spans="1:60" s="584" customFormat="1" ht="18" customHeight="1" x14ac:dyDescent="0.25">
      <c r="B23" s="585"/>
      <c r="C23" s="569"/>
      <c r="D23" s="569"/>
      <c r="E23" s="569"/>
      <c r="F23" s="586"/>
      <c r="J23" s="586"/>
      <c r="K23" s="569"/>
      <c r="L23" s="586"/>
      <c r="O23" s="586"/>
      <c r="P23" s="587"/>
      <c r="Q23" s="586"/>
      <c r="T23" s="586"/>
      <c r="U23" s="588"/>
      <c r="V23" s="588"/>
      <c r="W23" s="589"/>
      <c r="BC23" s="590"/>
    </row>
    <row r="24" spans="1:60" s="584" customFormat="1" ht="18" customHeight="1" x14ac:dyDescent="0.25">
      <c r="C24" s="680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  <c r="AJ24" s="681"/>
      <c r="AK24" s="681"/>
      <c r="AL24" s="681"/>
      <c r="AM24" s="681"/>
      <c r="AN24" s="681"/>
      <c r="AO24" s="681"/>
      <c r="AP24" s="681"/>
      <c r="AQ24" s="681"/>
      <c r="AR24" s="681"/>
      <c r="AS24" s="681"/>
      <c r="AT24" s="681"/>
      <c r="AU24" s="681"/>
      <c r="AV24" s="681"/>
      <c r="AW24" s="681"/>
      <c r="AX24" s="681"/>
      <c r="AY24" s="681"/>
      <c r="AZ24" s="681"/>
      <c r="BA24" s="681"/>
      <c r="BB24" s="681"/>
      <c r="BC24" s="681"/>
      <c r="BD24" s="681"/>
      <c r="BE24" s="681"/>
      <c r="BF24" s="681"/>
      <c r="BG24" s="681"/>
      <c r="BH24" s="681"/>
    </row>
    <row r="25" spans="1:60" ht="18" customHeight="1" x14ac:dyDescent="0.25"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1"/>
      <c r="AH25" s="681"/>
      <c r="AI25" s="681"/>
      <c r="AJ25" s="681"/>
      <c r="AK25" s="681"/>
      <c r="AL25" s="681"/>
      <c r="AM25" s="681"/>
      <c r="AN25" s="681"/>
      <c r="AO25" s="681"/>
      <c r="AP25" s="681"/>
      <c r="AQ25" s="681"/>
      <c r="AR25" s="681"/>
      <c r="AS25" s="681"/>
      <c r="AT25" s="681"/>
      <c r="AU25" s="681"/>
      <c r="AV25" s="681"/>
      <c r="AW25" s="681"/>
      <c r="AX25" s="681"/>
      <c r="AY25" s="681"/>
      <c r="AZ25" s="681"/>
      <c r="BA25" s="681"/>
      <c r="BB25" s="681"/>
      <c r="BC25" s="681"/>
      <c r="BD25" s="681"/>
      <c r="BE25" s="681"/>
      <c r="BF25" s="681"/>
      <c r="BG25" s="681"/>
      <c r="BH25" s="681"/>
    </row>
    <row r="26" spans="1:60" ht="18" customHeight="1" x14ac:dyDescent="0.25">
      <c r="C26" s="558"/>
      <c r="D26" s="558"/>
      <c r="E26" s="558"/>
      <c r="F26" s="558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</row>
  </sheetData>
  <mergeCells count="35">
    <mergeCell ref="C24:BH25"/>
    <mergeCell ref="W5:W6"/>
    <mergeCell ref="X5:X6"/>
    <mergeCell ref="Y5:AJ5"/>
    <mergeCell ref="AK5:AK6"/>
    <mergeCell ref="AL5:AL6"/>
    <mergeCell ref="AM5:AM6"/>
    <mergeCell ref="C5:C6"/>
    <mergeCell ref="D5:D6"/>
    <mergeCell ref="E5:E6"/>
    <mergeCell ref="F5:F6"/>
    <mergeCell ref="G5:G6"/>
    <mergeCell ref="H5:H6"/>
    <mergeCell ref="BE3:BE6"/>
    <mergeCell ref="I5:T5"/>
    <mergeCell ref="U5:U6"/>
    <mergeCell ref="V5:V6"/>
    <mergeCell ref="AN5:AN6"/>
    <mergeCell ref="AO5:AZ5"/>
    <mergeCell ref="A1:BH1"/>
    <mergeCell ref="A2:BH2"/>
    <mergeCell ref="A3:A6"/>
    <mergeCell ref="B3:B6"/>
    <mergeCell ref="C3:D4"/>
    <mergeCell ref="E3:AZ3"/>
    <mergeCell ref="BA3:BA6"/>
    <mergeCell ref="BB3:BB6"/>
    <mergeCell ref="BC3:BC6"/>
    <mergeCell ref="BD3:BD6"/>
    <mergeCell ref="BF3:BF6"/>
    <mergeCell ref="BG3:BG6"/>
    <mergeCell ref="BH3:BH6"/>
    <mergeCell ref="E4:T4"/>
    <mergeCell ref="U4:AJ4"/>
    <mergeCell ref="AK4:AZ4"/>
  </mergeCells>
  <pageMargins left="0.2" right="0.2" top="0.34" bottom="0.24" header="0.3" footer="0.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opLeftCell="A19" workbookViewId="0">
      <selection activeCell="C8" sqref="C8"/>
    </sheetView>
  </sheetViews>
  <sheetFormatPr defaultRowHeight="15" x14ac:dyDescent="0.25"/>
  <cols>
    <col min="1" max="1" width="3.875" style="541" customWidth="1"/>
    <col min="2" max="2" width="16.5" style="541" customWidth="1"/>
    <col min="3" max="3" width="9.75" style="541" customWidth="1"/>
    <col min="4" max="4" width="9.25" style="541" customWidth="1"/>
    <col min="5" max="5" width="9.375" style="541" customWidth="1"/>
    <col min="6" max="6" width="8.375" style="541" customWidth="1"/>
    <col min="7" max="18" width="9" style="541" hidden="1" customWidth="1"/>
    <col min="19" max="19" width="7.375" style="567" hidden="1" customWidth="1"/>
    <col min="20" max="20" width="8.375" style="541" bestFit="1" customWidth="1"/>
    <col min="21" max="21" width="9.125" style="541" customWidth="1"/>
    <col min="22" max="22" width="9.375" style="541" customWidth="1"/>
    <col min="23" max="23" width="8.5" style="541" customWidth="1"/>
    <col min="24" max="35" width="9" style="541" hidden="1" customWidth="1"/>
    <col min="36" max="36" width="7.375" style="567" hidden="1" customWidth="1"/>
    <col min="37" max="37" width="9.375" style="541" bestFit="1" customWidth="1"/>
    <col min="38" max="39" width="9.375" style="541" customWidth="1"/>
    <col min="40" max="40" width="7.875" style="541" customWidth="1"/>
    <col min="41" max="52" width="9" style="541" hidden="1" customWidth="1"/>
    <col min="53" max="256" width="9" style="541"/>
    <col min="257" max="257" width="3.875" style="541" customWidth="1"/>
    <col min="258" max="258" width="16.5" style="541" customWidth="1"/>
    <col min="259" max="260" width="10.125" style="541" customWidth="1"/>
    <col min="261" max="262" width="9.375" style="541" customWidth="1"/>
    <col min="263" max="275" width="0" style="541" hidden="1" customWidth="1"/>
    <col min="276" max="276" width="8.375" style="541" bestFit="1" customWidth="1"/>
    <col min="277" max="277" width="10.125" style="541" customWidth="1"/>
    <col min="278" max="279" width="9.375" style="541" customWidth="1"/>
    <col min="280" max="292" width="0" style="541" hidden="1" customWidth="1"/>
    <col min="293" max="293" width="9.375" style="541" bestFit="1" customWidth="1"/>
    <col min="294" max="294" width="10.125" style="541" customWidth="1"/>
    <col min="295" max="296" width="9.375" style="541" customWidth="1"/>
    <col min="297" max="308" width="0" style="541" hidden="1" customWidth="1"/>
    <col min="309" max="512" width="9" style="541"/>
    <col min="513" max="513" width="3.875" style="541" customWidth="1"/>
    <col min="514" max="514" width="16.5" style="541" customWidth="1"/>
    <col min="515" max="516" width="10.125" style="541" customWidth="1"/>
    <col min="517" max="518" width="9.375" style="541" customWidth="1"/>
    <col min="519" max="531" width="0" style="541" hidden="1" customWidth="1"/>
    <col min="532" max="532" width="8.375" style="541" bestFit="1" customWidth="1"/>
    <col min="533" max="533" width="10.125" style="541" customWidth="1"/>
    <col min="534" max="535" width="9.375" style="541" customWidth="1"/>
    <col min="536" max="548" width="0" style="541" hidden="1" customWidth="1"/>
    <col min="549" max="549" width="9.375" style="541" bestFit="1" customWidth="1"/>
    <col min="550" max="550" width="10.125" style="541" customWidth="1"/>
    <col min="551" max="552" width="9.375" style="541" customWidth="1"/>
    <col min="553" max="564" width="0" style="541" hidden="1" customWidth="1"/>
    <col min="565" max="768" width="9" style="541"/>
    <col min="769" max="769" width="3.875" style="541" customWidth="1"/>
    <col min="770" max="770" width="16.5" style="541" customWidth="1"/>
    <col min="771" max="772" width="10.125" style="541" customWidth="1"/>
    <col min="773" max="774" width="9.375" style="541" customWidth="1"/>
    <col min="775" max="787" width="0" style="541" hidden="1" customWidth="1"/>
    <col min="788" max="788" width="8.375" style="541" bestFit="1" customWidth="1"/>
    <col min="789" max="789" width="10.125" style="541" customWidth="1"/>
    <col min="790" max="791" width="9.375" style="541" customWidth="1"/>
    <col min="792" max="804" width="0" style="541" hidden="1" customWidth="1"/>
    <col min="805" max="805" width="9.375" style="541" bestFit="1" customWidth="1"/>
    <col min="806" max="806" width="10.125" style="541" customWidth="1"/>
    <col min="807" max="808" width="9.375" style="541" customWidth="1"/>
    <col min="809" max="820" width="0" style="541" hidden="1" customWidth="1"/>
    <col min="821" max="1024" width="9" style="541"/>
    <col min="1025" max="1025" width="3.875" style="541" customWidth="1"/>
    <col min="1026" max="1026" width="16.5" style="541" customWidth="1"/>
    <col min="1027" max="1028" width="10.125" style="541" customWidth="1"/>
    <col min="1029" max="1030" width="9.375" style="541" customWidth="1"/>
    <col min="1031" max="1043" width="0" style="541" hidden="1" customWidth="1"/>
    <col min="1044" max="1044" width="8.375" style="541" bestFit="1" customWidth="1"/>
    <col min="1045" max="1045" width="10.125" style="541" customWidth="1"/>
    <col min="1046" max="1047" width="9.375" style="541" customWidth="1"/>
    <col min="1048" max="1060" width="0" style="541" hidden="1" customWidth="1"/>
    <col min="1061" max="1061" width="9.375" style="541" bestFit="1" customWidth="1"/>
    <col min="1062" max="1062" width="10.125" style="541" customWidth="1"/>
    <col min="1063" max="1064" width="9.375" style="541" customWidth="1"/>
    <col min="1065" max="1076" width="0" style="541" hidden="1" customWidth="1"/>
    <col min="1077" max="1280" width="9" style="541"/>
    <col min="1281" max="1281" width="3.875" style="541" customWidth="1"/>
    <col min="1282" max="1282" width="16.5" style="541" customWidth="1"/>
    <col min="1283" max="1284" width="10.125" style="541" customWidth="1"/>
    <col min="1285" max="1286" width="9.375" style="541" customWidth="1"/>
    <col min="1287" max="1299" width="0" style="541" hidden="1" customWidth="1"/>
    <col min="1300" max="1300" width="8.375" style="541" bestFit="1" customWidth="1"/>
    <col min="1301" max="1301" width="10.125" style="541" customWidth="1"/>
    <col min="1302" max="1303" width="9.375" style="541" customWidth="1"/>
    <col min="1304" max="1316" width="0" style="541" hidden="1" customWidth="1"/>
    <col min="1317" max="1317" width="9.375" style="541" bestFit="1" customWidth="1"/>
    <col min="1318" max="1318" width="10.125" style="541" customWidth="1"/>
    <col min="1319" max="1320" width="9.375" style="541" customWidth="1"/>
    <col min="1321" max="1332" width="0" style="541" hidden="1" customWidth="1"/>
    <col min="1333" max="1536" width="9" style="541"/>
    <col min="1537" max="1537" width="3.875" style="541" customWidth="1"/>
    <col min="1538" max="1538" width="16.5" style="541" customWidth="1"/>
    <col min="1539" max="1540" width="10.125" style="541" customWidth="1"/>
    <col min="1541" max="1542" width="9.375" style="541" customWidth="1"/>
    <col min="1543" max="1555" width="0" style="541" hidden="1" customWidth="1"/>
    <col min="1556" max="1556" width="8.375" style="541" bestFit="1" customWidth="1"/>
    <col min="1557" max="1557" width="10.125" style="541" customWidth="1"/>
    <col min="1558" max="1559" width="9.375" style="541" customWidth="1"/>
    <col min="1560" max="1572" width="0" style="541" hidden="1" customWidth="1"/>
    <col min="1573" max="1573" width="9.375" style="541" bestFit="1" customWidth="1"/>
    <col min="1574" max="1574" width="10.125" style="541" customWidth="1"/>
    <col min="1575" max="1576" width="9.375" style="541" customWidth="1"/>
    <col min="1577" max="1588" width="0" style="541" hidden="1" customWidth="1"/>
    <col min="1589" max="1792" width="9" style="541"/>
    <col min="1793" max="1793" width="3.875" style="541" customWidth="1"/>
    <col min="1794" max="1794" width="16.5" style="541" customWidth="1"/>
    <col min="1795" max="1796" width="10.125" style="541" customWidth="1"/>
    <col min="1797" max="1798" width="9.375" style="541" customWidth="1"/>
    <col min="1799" max="1811" width="0" style="541" hidden="1" customWidth="1"/>
    <col min="1812" max="1812" width="8.375" style="541" bestFit="1" customWidth="1"/>
    <col min="1813" max="1813" width="10.125" style="541" customWidth="1"/>
    <col min="1814" max="1815" width="9.375" style="541" customWidth="1"/>
    <col min="1816" max="1828" width="0" style="541" hidden="1" customWidth="1"/>
    <col min="1829" max="1829" width="9.375" style="541" bestFit="1" customWidth="1"/>
    <col min="1830" max="1830" width="10.125" style="541" customWidth="1"/>
    <col min="1831" max="1832" width="9.375" style="541" customWidth="1"/>
    <col min="1833" max="1844" width="0" style="541" hidden="1" customWidth="1"/>
    <col min="1845" max="2048" width="9" style="541"/>
    <col min="2049" max="2049" width="3.875" style="541" customWidth="1"/>
    <col min="2050" max="2050" width="16.5" style="541" customWidth="1"/>
    <col min="2051" max="2052" width="10.125" style="541" customWidth="1"/>
    <col min="2053" max="2054" width="9.375" style="541" customWidth="1"/>
    <col min="2055" max="2067" width="0" style="541" hidden="1" customWidth="1"/>
    <col min="2068" max="2068" width="8.375" style="541" bestFit="1" customWidth="1"/>
    <col min="2069" max="2069" width="10.125" style="541" customWidth="1"/>
    <col min="2070" max="2071" width="9.375" style="541" customWidth="1"/>
    <col min="2072" max="2084" width="0" style="541" hidden="1" customWidth="1"/>
    <col min="2085" max="2085" width="9.375" style="541" bestFit="1" customWidth="1"/>
    <col min="2086" max="2086" width="10.125" style="541" customWidth="1"/>
    <col min="2087" max="2088" width="9.375" style="541" customWidth="1"/>
    <col min="2089" max="2100" width="0" style="541" hidden="1" customWidth="1"/>
    <col min="2101" max="2304" width="9" style="541"/>
    <col min="2305" max="2305" width="3.875" style="541" customWidth="1"/>
    <col min="2306" max="2306" width="16.5" style="541" customWidth="1"/>
    <col min="2307" max="2308" width="10.125" style="541" customWidth="1"/>
    <col min="2309" max="2310" width="9.375" style="541" customWidth="1"/>
    <col min="2311" max="2323" width="0" style="541" hidden="1" customWidth="1"/>
    <col min="2324" max="2324" width="8.375" style="541" bestFit="1" customWidth="1"/>
    <col min="2325" max="2325" width="10.125" style="541" customWidth="1"/>
    <col min="2326" max="2327" width="9.375" style="541" customWidth="1"/>
    <col min="2328" max="2340" width="0" style="541" hidden="1" customWidth="1"/>
    <col min="2341" max="2341" width="9.375" style="541" bestFit="1" customWidth="1"/>
    <col min="2342" max="2342" width="10.125" style="541" customWidth="1"/>
    <col min="2343" max="2344" width="9.375" style="541" customWidth="1"/>
    <col min="2345" max="2356" width="0" style="541" hidden="1" customWidth="1"/>
    <col min="2357" max="2560" width="9" style="541"/>
    <col min="2561" max="2561" width="3.875" style="541" customWidth="1"/>
    <col min="2562" max="2562" width="16.5" style="541" customWidth="1"/>
    <col min="2563" max="2564" width="10.125" style="541" customWidth="1"/>
    <col min="2565" max="2566" width="9.375" style="541" customWidth="1"/>
    <col min="2567" max="2579" width="0" style="541" hidden="1" customWidth="1"/>
    <col min="2580" max="2580" width="8.375" style="541" bestFit="1" customWidth="1"/>
    <col min="2581" max="2581" width="10.125" style="541" customWidth="1"/>
    <col min="2582" max="2583" width="9.375" style="541" customWidth="1"/>
    <col min="2584" max="2596" width="0" style="541" hidden="1" customWidth="1"/>
    <col min="2597" max="2597" width="9.375" style="541" bestFit="1" customWidth="1"/>
    <col min="2598" max="2598" width="10.125" style="541" customWidth="1"/>
    <col min="2599" max="2600" width="9.375" style="541" customWidth="1"/>
    <col min="2601" max="2612" width="0" style="541" hidden="1" customWidth="1"/>
    <col min="2613" max="2816" width="9" style="541"/>
    <col min="2817" max="2817" width="3.875" style="541" customWidth="1"/>
    <col min="2818" max="2818" width="16.5" style="541" customWidth="1"/>
    <col min="2819" max="2820" width="10.125" style="541" customWidth="1"/>
    <col min="2821" max="2822" width="9.375" style="541" customWidth="1"/>
    <col min="2823" max="2835" width="0" style="541" hidden="1" customWidth="1"/>
    <col min="2836" max="2836" width="8.375" style="541" bestFit="1" customWidth="1"/>
    <col min="2837" max="2837" width="10.125" style="541" customWidth="1"/>
    <col min="2838" max="2839" width="9.375" style="541" customWidth="1"/>
    <col min="2840" max="2852" width="0" style="541" hidden="1" customWidth="1"/>
    <col min="2853" max="2853" width="9.375" style="541" bestFit="1" customWidth="1"/>
    <col min="2854" max="2854" width="10.125" style="541" customWidth="1"/>
    <col min="2855" max="2856" width="9.375" style="541" customWidth="1"/>
    <col min="2857" max="2868" width="0" style="541" hidden="1" customWidth="1"/>
    <col min="2869" max="3072" width="9" style="541"/>
    <col min="3073" max="3073" width="3.875" style="541" customWidth="1"/>
    <col min="3074" max="3074" width="16.5" style="541" customWidth="1"/>
    <col min="3075" max="3076" width="10.125" style="541" customWidth="1"/>
    <col min="3077" max="3078" width="9.375" style="541" customWidth="1"/>
    <col min="3079" max="3091" width="0" style="541" hidden="1" customWidth="1"/>
    <col min="3092" max="3092" width="8.375" style="541" bestFit="1" customWidth="1"/>
    <col min="3093" max="3093" width="10.125" style="541" customWidth="1"/>
    <col min="3094" max="3095" width="9.375" style="541" customWidth="1"/>
    <col min="3096" max="3108" width="0" style="541" hidden="1" customWidth="1"/>
    <col min="3109" max="3109" width="9.375" style="541" bestFit="1" customWidth="1"/>
    <col min="3110" max="3110" width="10.125" style="541" customWidth="1"/>
    <col min="3111" max="3112" width="9.375" style="541" customWidth="1"/>
    <col min="3113" max="3124" width="0" style="541" hidden="1" customWidth="1"/>
    <col min="3125" max="3328" width="9" style="541"/>
    <col min="3329" max="3329" width="3.875" style="541" customWidth="1"/>
    <col min="3330" max="3330" width="16.5" style="541" customWidth="1"/>
    <col min="3331" max="3332" width="10.125" style="541" customWidth="1"/>
    <col min="3333" max="3334" width="9.375" style="541" customWidth="1"/>
    <col min="3335" max="3347" width="0" style="541" hidden="1" customWidth="1"/>
    <col min="3348" max="3348" width="8.375" style="541" bestFit="1" customWidth="1"/>
    <col min="3349" max="3349" width="10.125" style="541" customWidth="1"/>
    <col min="3350" max="3351" width="9.375" style="541" customWidth="1"/>
    <col min="3352" max="3364" width="0" style="541" hidden="1" customWidth="1"/>
    <col min="3365" max="3365" width="9.375" style="541" bestFit="1" customWidth="1"/>
    <col min="3366" max="3366" width="10.125" style="541" customWidth="1"/>
    <col min="3367" max="3368" width="9.375" style="541" customWidth="1"/>
    <col min="3369" max="3380" width="0" style="541" hidden="1" customWidth="1"/>
    <col min="3381" max="3584" width="9" style="541"/>
    <col min="3585" max="3585" width="3.875" style="541" customWidth="1"/>
    <col min="3586" max="3586" width="16.5" style="541" customWidth="1"/>
    <col min="3587" max="3588" width="10.125" style="541" customWidth="1"/>
    <col min="3589" max="3590" width="9.375" style="541" customWidth="1"/>
    <col min="3591" max="3603" width="0" style="541" hidden="1" customWidth="1"/>
    <col min="3604" max="3604" width="8.375" style="541" bestFit="1" customWidth="1"/>
    <col min="3605" max="3605" width="10.125" style="541" customWidth="1"/>
    <col min="3606" max="3607" width="9.375" style="541" customWidth="1"/>
    <col min="3608" max="3620" width="0" style="541" hidden="1" customWidth="1"/>
    <col min="3621" max="3621" width="9.375" style="541" bestFit="1" customWidth="1"/>
    <col min="3622" max="3622" width="10.125" style="541" customWidth="1"/>
    <col min="3623" max="3624" width="9.375" style="541" customWidth="1"/>
    <col min="3625" max="3636" width="0" style="541" hidden="1" customWidth="1"/>
    <col min="3637" max="3840" width="9" style="541"/>
    <col min="3841" max="3841" width="3.875" style="541" customWidth="1"/>
    <col min="3842" max="3842" width="16.5" style="541" customWidth="1"/>
    <col min="3843" max="3844" width="10.125" style="541" customWidth="1"/>
    <col min="3845" max="3846" width="9.375" style="541" customWidth="1"/>
    <col min="3847" max="3859" width="0" style="541" hidden="1" customWidth="1"/>
    <col min="3860" max="3860" width="8.375" style="541" bestFit="1" customWidth="1"/>
    <col min="3861" max="3861" width="10.125" style="541" customWidth="1"/>
    <col min="3862" max="3863" width="9.375" style="541" customWidth="1"/>
    <col min="3864" max="3876" width="0" style="541" hidden="1" customWidth="1"/>
    <col min="3877" max="3877" width="9.375" style="541" bestFit="1" customWidth="1"/>
    <col min="3878" max="3878" width="10.125" style="541" customWidth="1"/>
    <col min="3879" max="3880" width="9.375" style="541" customWidth="1"/>
    <col min="3881" max="3892" width="0" style="541" hidden="1" customWidth="1"/>
    <col min="3893" max="4096" width="9" style="541"/>
    <col min="4097" max="4097" width="3.875" style="541" customWidth="1"/>
    <col min="4098" max="4098" width="16.5" style="541" customWidth="1"/>
    <col min="4099" max="4100" width="10.125" style="541" customWidth="1"/>
    <col min="4101" max="4102" width="9.375" style="541" customWidth="1"/>
    <col min="4103" max="4115" width="0" style="541" hidden="1" customWidth="1"/>
    <col min="4116" max="4116" width="8.375" style="541" bestFit="1" customWidth="1"/>
    <col min="4117" max="4117" width="10.125" style="541" customWidth="1"/>
    <col min="4118" max="4119" width="9.375" style="541" customWidth="1"/>
    <col min="4120" max="4132" width="0" style="541" hidden="1" customWidth="1"/>
    <col min="4133" max="4133" width="9.375" style="541" bestFit="1" customWidth="1"/>
    <col min="4134" max="4134" width="10.125" style="541" customWidth="1"/>
    <col min="4135" max="4136" width="9.375" style="541" customWidth="1"/>
    <col min="4137" max="4148" width="0" style="541" hidden="1" customWidth="1"/>
    <col min="4149" max="4352" width="9" style="541"/>
    <col min="4353" max="4353" width="3.875" style="541" customWidth="1"/>
    <col min="4354" max="4354" width="16.5" style="541" customWidth="1"/>
    <col min="4355" max="4356" width="10.125" style="541" customWidth="1"/>
    <col min="4357" max="4358" width="9.375" style="541" customWidth="1"/>
    <col min="4359" max="4371" width="0" style="541" hidden="1" customWidth="1"/>
    <col min="4372" max="4372" width="8.375" style="541" bestFit="1" customWidth="1"/>
    <col min="4373" max="4373" width="10.125" style="541" customWidth="1"/>
    <col min="4374" max="4375" width="9.375" style="541" customWidth="1"/>
    <col min="4376" max="4388" width="0" style="541" hidden="1" customWidth="1"/>
    <col min="4389" max="4389" width="9.375" style="541" bestFit="1" customWidth="1"/>
    <col min="4390" max="4390" width="10.125" style="541" customWidth="1"/>
    <col min="4391" max="4392" width="9.375" style="541" customWidth="1"/>
    <col min="4393" max="4404" width="0" style="541" hidden="1" customWidth="1"/>
    <col min="4405" max="4608" width="9" style="541"/>
    <col min="4609" max="4609" width="3.875" style="541" customWidth="1"/>
    <col min="4610" max="4610" width="16.5" style="541" customWidth="1"/>
    <col min="4611" max="4612" width="10.125" style="541" customWidth="1"/>
    <col min="4613" max="4614" width="9.375" style="541" customWidth="1"/>
    <col min="4615" max="4627" width="0" style="541" hidden="1" customWidth="1"/>
    <col min="4628" max="4628" width="8.375" style="541" bestFit="1" customWidth="1"/>
    <col min="4629" max="4629" width="10.125" style="541" customWidth="1"/>
    <col min="4630" max="4631" width="9.375" style="541" customWidth="1"/>
    <col min="4632" max="4644" width="0" style="541" hidden="1" customWidth="1"/>
    <col min="4645" max="4645" width="9.375" style="541" bestFit="1" customWidth="1"/>
    <col min="4646" max="4646" width="10.125" style="541" customWidth="1"/>
    <col min="4647" max="4648" width="9.375" style="541" customWidth="1"/>
    <col min="4649" max="4660" width="0" style="541" hidden="1" customWidth="1"/>
    <col min="4661" max="4864" width="9" style="541"/>
    <col min="4865" max="4865" width="3.875" style="541" customWidth="1"/>
    <col min="4866" max="4866" width="16.5" style="541" customWidth="1"/>
    <col min="4867" max="4868" width="10.125" style="541" customWidth="1"/>
    <col min="4869" max="4870" width="9.375" style="541" customWidth="1"/>
    <col min="4871" max="4883" width="0" style="541" hidden="1" customWidth="1"/>
    <col min="4884" max="4884" width="8.375" style="541" bestFit="1" customWidth="1"/>
    <col min="4885" max="4885" width="10.125" style="541" customWidth="1"/>
    <col min="4886" max="4887" width="9.375" style="541" customWidth="1"/>
    <col min="4888" max="4900" width="0" style="541" hidden="1" customWidth="1"/>
    <col min="4901" max="4901" width="9.375" style="541" bestFit="1" customWidth="1"/>
    <col min="4902" max="4902" width="10.125" style="541" customWidth="1"/>
    <col min="4903" max="4904" width="9.375" style="541" customWidth="1"/>
    <col min="4905" max="4916" width="0" style="541" hidden="1" customWidth="1"/>
    <col min="4917" max="5120" width="9" style="541"/>
    <col min="5121" max="5121" width="3.875" style="541" customWidth="1"/>
    <col min="5122" max="5122" width="16.5" style="541" customWidth="1"/>
    <col min="5123" max="5124" width="10.125" style="541" customWidth="1"/>
    <col min="5125" max="5126" width="9.375" style="541" customWidth="1"/>
    <col min="5127" max="5139" width="0" style="541" hidden="1" customWidth="1"/>
    <col min="5140" max="5140" width="8.375" style="541" bestFit="1" customWidth="1"/>
    <col min="5141" max="5141" width="10.125" style="541" customWidth="1"/>
    <col min="5142" max="5143" width="9.375" style="541" customWidth="1"/>
    <col min="5144" max="5156" width="0" style="541" hidden="1" customWidth="1"/>
    <col min="5157" max="5157" width="9.375" style="541" bestFit="1" customWidth="1"/>
    <col min="5158" max="5158" width="10.125" style="541" customWidth="1"/>
    <col min="5159" max="5160" width="9.375" style="541" customWidth="1"/>
    <col min="5161" max="5172" width="0" style="541" hidden="1" customWidth="1"/>
    <col min="5173" max="5376" width="9" style="541"/>
    <col min="5377" max="5377" width="3.875" style="541" customWidth="1"/>
    <col min="5378" max="5378" width="16.5" style="541" customWidth="1"/>
    <col min="5379" max="5380" width="10.125" style="541" customWidth="1"/>
    <col min="5381" max="5382" width="9.375" style="541" customWidth="1"/>
    <col min="5383" max="5395" width="0" style="541" hidden="1" customWidth="1"/>
    <col min="5396" max="5396" width="8.375" style="541" bestFit="1" customWidth="1"/>
    <col min="5397" max="5397" width="10.125" style="541" customWidth="1"/>
    <col min="5398" max="5399" width="9.375" style="541" customWidth="1"/>
    <col min="5400" max="5412" width="0" style="541" hidden="1" customWidth="1"/>
    <col min="5413" max="5413" width="9.375" style="541" bestFit="1" customWidth="1"/>
    <col min="5414" max="5414" width="10.125" style="541" customWidth="1"/>
    <col min="5415" max="5416" width="9.375" style="541" customWidth="1"/>
    <col min="5417" max="5428" width="0" style="541" hidden="1" customWidth="1"/>
    <col min="5429" max="5632" width="9" style="541"/>
    <col min="5633" max="5633" width="3.875" style="541" customWidth="1"/>
    <col min="5634" max="5634" width="16.5" style="541" customWidth="1"/>
    <col min="5635" max="5636" width="10.125" style="541" customWidth="1"/>
    <col min="5637" max="5638" width="9.375" style="541" customWidth="1"/>
    <col min="5639" max="5651" width="0" style="541" hidden="1" customWidth="1"/>
    <col min="5652" max="5652" width="8.375" style="541" bestFit="1" customWidth="1"/>
    <col min="5653" max="5653" width="10.125" style="541" customWidth="1"/>
    <col min="5654" max="5655" width="9.375" style="541" customWidth="1"/>
    <col min="5656" max="5668" width="0" style="541" hidden="1" customWidth="1"/>
    <col min="5669" max="5669" width="9.375" style="541" bestFit="1" customWidth="1"/>
    <col min="5670" max="5670" width="10.125" style="541" customWidth="1"/>
    <col min="5671" max="5672" width="9.375" style="541" customWidth="1"/>
    <col min="5673" max="5684" width="0" style="541" hidden="1" customWidth="1"/>
    <col min="5685" max="5888" width="9" style="541"/>
    <col min="5889" max="5889" width="3.875" style="541" customWidth="1"/>
    <col min="5890" max="5890" width="16.5" style="541" customWidth="1"/>
    <col min="5891" max="5892" width="10.125" style="541" customWidth="1"/>
    <col min="5893" max="5894" width="9.375" style="541" customWidth="1"/>
    <col min="5895" max="5907" width="0" style="541" hidden="1" customWidth="1"/>
    <col min="5908" max="5908" width="8.375" style="541" bestFit="1" customWidth="1"/>
    <col min="5909" max="5909" width="10.125" style="541" customWidth="1"/>
    <col min="5910" max="5911" width="9.375" style="541" customWidth="1"/>
    <col min="5912" max="5924" width="0" style="541" hidden="1" customWidth="1"/>
    <col min="5925" max="5925" width="9.375" style="541" bestFit="1" customWidth="1"/>
    <col min="5926" max="5926" width="10.125" style="541" customWidth="1"/>
    <col min="5927" max="5928" width="9.375" style="541" customWidth="1"/>
    <col min="5929" max="5940" width="0" style="541" hidden="1" customWidth="1"/>
    <col min="5941" max="6144" width="9" style="541"/>
    <col min="6145" max="6145" width="3.875" style="541" customWidth="1"/>
    <col min="6146" max="6146" width="16.5" style="541" customWidth="1"/>
    <col min="6147" max="6148" width="10.125" style="541" customWidth="1"/>
    <col min="6149" max="6150" width="9.375" style="541" customWidth="1"/>
    <col min="6151" max="6163" width="0" style="541" hidden="1" customWidth="1"/>
    <col min="6164" max="6164" width="8.375" style="541" bestFit="1" customWidth="1"/>
    <col min="6165" max="6165" width="10.125" style="541" customWidth="1"/>
    <col min="6166" max="6167" width="9.375" style="541" customWidth="1"/>
    <col min="6168" max="6180" width="0" style="541" hidden="1" customWidth="1"/>
    <col min="6181" max="6181" width="9.375" style="541" bestFit="1" customWidth="1"/>
    <col min="6182" max="6182" width="10.125" style="541" customWidth="1"/>
    <col min="6183" max="6184" width="9.375" style="541" customWidth="1"/>
    <col min="6185" max="6196" width="0" style="541" hidden="1" customWidth="1"/>
    <col min="6197" max="6400" width="9" style="541"/>
    <col min="6401" max="6401" width="3.875" style="541" customWidth="1"/>
    <col min="6402" max="6402" width="16.5" style="541" customWidth="1"/>
    <col min="6403" max="6404" width="10.125" style="541" customWidth="1"/>
    <col min="6405" max="6406" width="9.375" style="541" customWidth="1"/>
    <col min="6407" max="6419" width="0" style="541" hidden="1" customWidth="1"/>
    <col min="6420" max="6420" width="8.375" style="541" bestFit="1" customWidth="1"/>
    <col min="6421" max="6421" width="10.125" style="541" customWidth="1"/>
    <col min="6422" max="6423" width="9.375" style="541" customWidth="1"/>
    <col min="6424" max="6436" width="0" style="541" hidden="1" customWidth="1"/>
    <col min="6437" max="6437" width="9.375" style="541" bestFit="1" customWidth="1"/>
    <col min="6438" max="6438" width="10.125" style="541" customWidth="1"/>
    <col min="6439" max="6440" width="9.375" style="541" customWidth="1"/>
    <col min="6441" max="6452" width="0" style="541" hidden="1" customWidth="1"/>
    <col min="6453" max="6656" width="9" style="541"/>
    <col min="6657" max="6657" width="3.875" style="541" customWidth="1"/>
    <col min="6658" max="6658" width="16.5" style="541" customWidth="1"/>
    <col min="6659" max="6660" width="10.125" style="541" customWidth="1"/>
    <col min="6661" max="6662" width="9.375" style="541" customWidth="1"/>
    <col min="6663" max="6675" width="0" style="541" hidden="1" customWidth="1"/>
    <col min="6676" max="6676" width="8.375" style="541" bestFit="1" customWidth="1"/>
    <col min="6677" max="6677" width="10.125" style="541" customWidth="1"/>
    <col min="6678" max="6679" width="9.375" style="541" customWidth="1"/>
    <col min="6680" max="6692" width="0" style="541" hidden="1" customWidth="1"/>
    <col min="6693" max="6693" width="9.375" style="541" bestFit="1" customWidth="1"/>
    <col min="6694" max="6694" width="10.125" style="541" customWidth="1"/>
    <col min="6695" max="6696" width="9.375" style="541" customWidth="1"/>
    <col min="6697" max="6708" width="0" style="541" hidden="1" customWidth="1"/>
    <col min="6709" max="6912" width="9" style="541"/>
    <col min="6913" max="6913" width="3.875" style="541" customWidth="1"/>
    <col min="6914" max="6914" width="16.5" style="541" customWidth="1"/>
    <col min="6915" max="6916" width="10.125" style="541" customWidth="1"/>
    <col min="6917" max="6918" width="9.375" style="541" customWidth="1"/>
    <col min="6919" max="6931" width="0" style="541" hidden="1" customWidth="1"/>
    <col min="6932" max="6932" width="8.375" style="541" bestFit="1" customWidth="1"/>
    <col min="6933" max="6933" width="10.125" style="541" customWidth="1"/>
    <col min="6934" max="6935" width="9.375" style="541" customWidth="1"/>
    <col min="6936" max="6948" width="0" style="541" hidden="1" customWidth="1"/>
    <col min="6949" max="6949" width="9.375" style="541" bestFit="1" customWidth="1"/>
    <col min="6950" max="6950" width="10.125" style="541" customWidth="1"/>
    <col min="6951" max="6952" width="9.375" style="541" customWidth="1"/>
    <col min="6953" max="6964" width="0" style="541" hidden="1" customWidth="1"/>
    <col min="6965" max="7168" width="9" style="541"/>
    <col min="7169" max="7169" width="3.875" style="541" customWidth="1"/>
    <col min="7170" max="7170" width="16.5" style="541" customWidth="1"/>
    <col min="7171" max="7172" width="10.125" style="541" customWidth="1"/>
    <col min="7173" max="7174" width="9.375" style="541" customWidth="1"/>
    <col min="7175" max="7187" width="0" style="541" hidden="1" customWidth="1"/>
    <col min="7188" max="7188" width="8.375" style="541" bestFit="1" customWidth="1"/>
    <col min="7189" max="7189" width="10.125" style="541" customWidth="1"/>
    <col min="7190" max="7191" width="9.375" style="541" customWidth="1"/>
    <col min="7192" max="7204" width="0" style="541" hidden="1" customWidth="1"/>
    <col min="7205" max="7205" width="9.375" style="541" bestFit="1" customWidth="1"/>
    <col min="7206" max="7206" width="10.125" style="541" customWidth="1"/>
    <col min="7207" max="7208" width="9.375" style="541" customWidth="1"/>
    <col min="7209" max="7220" width="0" style="541" hidden="1" customWidth="1"/>
    <col min="7221" max="7424" width="9" style="541"/>
    <col min="7425" max="7425" width="3.875" style="541" customWidth="1"/>
    <col min="7426" max="7426" width="16.5" style="541" customWidth="1"/>
    <col min="7427" max="7428" width="10.125" style="541" customWidth="1"/>
    <col min="7429" max="7430" width="9.375" style="541" customWidth="1"/>
    <col min="7431" max="7443" width="0" style="541" hidden="1" customWidth="1"/>
    <col min="7444" max="7444" width="8.375" style="541" bestFit="1" customWidth="1"/>
    <col min="7445" max="7445" width="10.125" style="541" customWidth="1"/>
    <col min="7446" max="7447" width="9.375" style="541" customWidth="1"/>
    <col min="7448" max="7460" width="0" style="541" hidden="1" customWidth="1"/>
    <col min="7461" max="7461" width="9.375" style="541" bestFit="1" customWidth="1"/>
    <col min="7462" max="7462" width="10.125" style="541" customWidth="1"/>
    <col min="7463" max="7464" width="9.375" style="541" customWidth="1"/>
    <col min="7465" max="7476" width="0" style="541" hidden="1" customWidth="1"/>
    <col min="7477" max="7680" width="9" style="541"/>
    <col min="7681" max="7681" width="3.875" style="541" customWidth="1"/>
    <col min="7682" max="7682" width="16.5" style="541" customWidth="1"/>
    <col min="7683" max="7684" width="10.125" style="541" customWidth="1"/>
    <col min="7685" max="7686" width="9.375" style="541" customWidth="1"/>
    <col min="7687" max="7699" width="0" style="541" hidden="1" customWidth="1"/>
    <col min="7700" max="7700" width="8.375" style="541" bestFit="1" customWidth="1"/>
    <col min="7701" max="7701" width="10.125" style="541" customWidth="1"/>
    <col min="7702" max="7703" width="9.375" style="541" customWidth="1"/>
    <col min="7704" max="7716" width="0" style="541" hidden="1" customWidth="1"/>
    <col min="7717" max="7717" width="9.375" style="541" bestFit="1" customWidth="1"/>
    <col min="7718" max="7718" width="10.125" style="541" customWidth="1"/>
    <col min="7719" max="7720" width="9.375" style="541" customWidth="1"/>
    <col min="7721" max="7732" width="0" style="541" hidden="1" customWidth="1"/>
    <col min="7733" max="7936" width="9" style="541"/>
    <col min="7937" max="7937" width="3.875" style="541" customWidth="1"/>
    <col min="7938" max="7938" width="16.5" style="541" customWidth="1"/>
    <col min="7939" max="7940" width="10.125" style="541" customWidth="1"/>
    <col min="7941" max="7942" width="9.375" style="541" customWidth="1"/>
    <col min="7943" max="7955" width="0" style="541" hidden="1" customWidth="1"/>
    <col min="7956" max="7956" width="8.375" style="541" bestFit="1" customWidth="1"/>
    <col min="7957" max="7957" width="10.125" style="541" customWidth="1"/>
    <col min="7958" max="7959" width="9.375" style="541" customWidth="1"/>
    <col min="7960" max="7972" width="0" style="541" hidden="1" customWidth="1"/>
    <col min="7973" max="7973" width="9.375" style="541" bestFit="1" customWidth="1"/>
    <col min="7974" max="7974" width="10.125" style="541" customWidth="1"/>
    <col min="7975" max="7976" width="9.375" style="541" customWidth="1"/>
    <col min="7977" max="7988" width="0" style="541" hidden="1" customWidth="1"/>
    <col min="7989" max="8192" width="9" style="541"/>
    <col min="8193" max="8193" width="3.875" style="541" customWidth="1"/>
    <col min="8194" max="8194" width="16.5" style="541" customWidth="1"/>
    <col min="8195" max="8196" width="10.125" style="541" customWidth="1"/>
    <col min="8197" max="8198" width="9.375" style="541" customWidth="1"/>
    <col min="8199" max="8211" width="0" style="541" hidden="1" customWidth="1"/>
    <col min="8212" max="8212" width="8.375" style="541" bestFit="1" customWidth="1"/>
    <col min="8213" max="8213" width="10.125" style="541" customWidth="1"/>
    <col min="8214" max="8215" width="9.375" style="541" customWidth="1"/>
    <col min="8216" max="8228" width="0" style="541" hidden="1" customWidth="1"/>
    <col min="8229" max="8229" width="9.375" style="541" bestFit="1" customWidth="1"/>
    <col min="8230" max="8230" width="10.125" style="541" customWidth="1"/>
    <col min="8231" max="8232" width="9.375" style="541" customWidth="1"/>
    <col min="8233" max="8244" width="0" style="541" hidden="1" customWidth="1"/>
    <col min="8245" max="8448" width="9" style="541"/>
    <col min="8449" max="8449" width="3.875" style="541" customWidth="1"/>
    <col min="8450" max="8450" width="16.5" style="541" customWidth="1"/>
    <col min="8451" max="8452" width="10.125" style="541" customWidth="1"/>
    <col min="8453" max="8454" width="9.375" style="541" customWidth="1"/>
    <col min="8455" max="8467" width="0" style="541" hidden="1" customWidth="1"/>
    <col min="8468" max="8468" width="8.375" style="541" bestFit="1" customWidth="1"/>
    <col min="8469" max="8469" width="10.125" style="541" customWidth="1"/>
    <col min="8470" max="8471" width="9.375" style="541" customWidth="1"/>
    <col min="8472" max="8484" width="0" style="541" hidden="1" customWidth="1"/>
    <col min="8485" max="8485" width="9.375" style="541" bestFit="1" customWidth="1"/>
    <col min="8486" max="8486" width="10.125" style="541" customWidth="1"/>
    <col min="8487" max="8488" width="9.375" style="541" customWidth="1"/>
    <col min="8489" max="8500" width="0" style="541" hidden="1" customWidth="1"/>
    <col min="8501" max="8704" width="9" style="541"/>
    <col min="8705" max="8705" width="3.875" style="541" customWidth="1"/>
    <col min="8706" max="8706" width="16.5" style="541" customWidth="1"/>
    <col min="8707" max="8708" width="10.125" style="541" customWidth="1"/>
    <col min="8709" max="8710" width="9.375" style="541" customWidth="1"/>
    <col min="8711" max="8723" width="0" style="541" hidden="1" customWidth="1"/>
    <col min="8724" max="8724" width="8.375" style="541" bestFit="1" customWidth="1"/>
    <col min="8725" max="8725" width="10.125" style="541" customWidth="1"/>
    <col min="8726" max="8727" width="9.375" style="541" customWidth="1"/>
    <col min="8728" max="8740" width="0" style="541" hidden="1" customWidth="1"/>
    <col min="8741" max="8741" width="9.375" style="541" bestFit="1" customWidth="1"/>
    <col min="8742" max="8742" width="10.125" style="541" customWidth="1"/>
    <col min="8743" max="8744" width="9.375" style="541" customWidth="1"/>
    <col min="8745" max="8756" width="0" style="541" hidden="1" customWidth="1"/>
    <col min="8757" max="8960" width="9" style="541"/>
    <col min="8961" max="8961" width="3.875" style="541" customWidth="1"/>
    <col min="8962" max="8962" width="16.5" style="541" customWidth="1"/>
    <col min="8963" max="8964" width="10.125" style="541" customWidth="1"/>
    <col min="8965" max="8966" width="9.375" style="541" customWidth="1"/>
    <col min="8967" max="8979" width="0" style="541" hidden="1" customWidth="1"/>
    <col min="8980" max="8980" width="8.375" style="541" bestFit="1" customWidth="1"/>
    <col min="8981" max="8981" width="10.125" style="541" customWidth="1"/>
    <col min="8982" max="8983" width="9.375" style="541" customWidth="1"/>
    <col min="8984" max="8996" width="0" style="541" hidden="1" customWidth="1"/>
    <col min="8997" max="8997" width="9.375" style="541" bestFit="1" customWidth="1"/>
    <col min="8998" max="8998" width="10.125" style="541" customWidth="1"/>
    <col min="8999" max="9000" width="9.375" style="541" customWidth="1"/>
    <col min="9001" max="9012" width="0" style="541" hidden="1" customWidth="1"/>
    <col min="9013" max="9216" width="9" style="541"/>
    <col min="9217" max="9217" width="3.875" style="541" customWidth="1"/>
    <col min="9218" max="9218" width="16.5" style="541" customWidth="1"/>
    <col min="9219" max="9220" width="10.125" style="541" customWidth="1"/>
    <col min="9221" max="9222" width="9.375" style="541" customWidth="1"/>
    <col min="9223" max="9235" width="0" style="541" hidden="1" customWidth="1"/>
    <col min="9236" max="9236" width="8.375" style="541" bestFit="1" customWidth="1"/>
    <col min="9237" max="9237" width="10.125" style="541" customWidth="1"/>
    <col min="9238" max="9239" width="9.375" style="541" customWidth="1"/>
    <col min="9240" max="9252" width="0" style="541" hidden="1" customWidth="1"/>
    <col min="9253" max="9253" width="9.375" style="541" bestFit="1" customWidth="1"/>
    <col min="9254" max="9254" width="10.125" style="541" customWidth="1"/>
    <col min="9255" max="9256" width="9.375" style="541" customWidth="1"/>
    <col min="9257" max="9268" width="0" style="541" hidden="1" customWidth="1"/>
    <col min="9269" max="9472" width="9" style="541"/>
    <col min="9473" max="9473" width="3.875" style="541" customWidth="1"/>
    <col min="9474" max="9474" width="16.5" style="541" customWidth="1"/>
    <col min="9475" max="9476" width="10.125" style="541" customWidth="1"/>
    <col min="9477" max="9478" width="9.375" style="541" customWidth="1"/>
    <col min="9479" max="9491" width="0" style="541" hidden="1" customWidth="1"/>
    <col min="9492" max="9492" width="8.375" style="541" bestFit="1" customWidth="1"/>
    <col min="9493" max="9493" width="10.125" style="541" customWidth="1"/>
    <col min="9494" max="9495" width="9.375" style="541" customWidth="1"/>
    <col min="9496" max="9508" width="0" style="541" hidden="1" customWidth="1"/>
    <col min="9509" max="9509" width="9.375" style="541" bestFit="1" customWidth="1"/>
    <col min="9510" max="9510" width="10.125" style="541" customWidth="1"/>
    <col min="9511" max="9512" width="9.375" style="541" customWidth="1"/>
    <col min="9513" max="9524" width="0" style="541" hidden="1" customWidth="1"/>
    <col min="9525" max="9728" width="9" style="541"/>
    <col min="9729" max="9729" width="3.875" style="541" customWidth="1"/>
    <col min="9730" max="9730" width="16.5" style="541" customWidth="1"/>
    <col min="9731" max="9732" width="10.125" style="541" customWidth="1"/>
    <col min="9733" max="9734" width="9.375" style="541" customWidth="1"/>
    <col min="9735" max="9747" width="0" style="541" hidden="1" customWidth="1"/>
    <col min="9748" max="9748" width="8.375" style="541" bestFit="1" customWidth="1"/>
    <col min="9749" max="9749" width="10.125" style="541" customWidth="1"/>
    <col min="9750" max="9751" width="9.375" style="541" customWidth="1"/>
    <col min="9752" max="9764" width="0" style="541" hidden="1" customWidth="1"/>
    <col min="9765" max="9765" width="9.375" style="541" bestFit="1" customWidth="1"/>
    <col min="9766" max="9766" width="10.125" style="541" customWidth="1"/>
    <col min="9767" max="9768" width="9.375" style="541" customWidth="1"/>
    <col min="9769" max="9780" width="0" style="541" hidden="1" customWidth="1"/>
    <col min="9781" max="9984" width="9" style="541"/>
    <col min="9985" max="9985" width="3.875" style="541" customWidth="1"/>
    <col min="9986" max="9986" width="16.5" style="541" customWidth="1"/>
    <col min="9987" max="9988" width="10.125" style="541" customWidth="1"/>
    <col min="9989" max="9990" width="9.375" style="541" customWidth="1"/>
    <col min="9991" max="10003" width="0" style="541" hidden="1" customWidth="1"/>
    <col min="10004" max="10004" width="8.375" style="541" bestFit="1" customWidth="1"/>
    <col min="10005" max="10005" width="10.125" style="541" customWidth="1"/>
    <col min="10006" max="10007" width="9.375" style="541" customWidth="1"/>
    <col min="10008" max="10020" width="0" style="541" hidden="1" customWidth="1"/>
    <col min="10021" max="10021" width="9.375" style="541" bestFit="1" customWidth="1"/>
    <col min="10022" max="10022" width="10.125" style="541" customWidth="1"/>
    <col min="10023" max="10024" width="9.375" style="541" customWidth="1"/>
    <col min="10025" max="10036" width="0" style="541" hidden="1" customWidth="1"/>
    <col min="10037" max="10240" width="9" style="541"/>
    <col min="10241" max="10241" width="3.875" style="541" customWidth="1"/>
    <col min="10242" max="10242" width="16.5" style="541" customWidth="1"/>
    <col min="10243" max="10244" width="10.125" style="541" customWidth="1"/>
    <col min="10245" max="10246" width="9.375" style="541" customWidth="1"/>
    <col min="10247" max="10259" width="0" style="541" hidden="1" customWidth="1"/>
    <col min="10260" max="10260" width="8.375" style="541" bestFit="1" customWidth="1"/>
    <col min="10261" max="10261" width="10.125" style="541" customWidth="1"/>
    <col min="10262" max="10263" width="9.375" style="541" customWidth="1"/>
    <col min="10264" max="10276" width="0" style="541" hidden="1" customWidth="1"/>
    <col min="10277" max="10277" width="9.375" style="541" bestFit="1" customWidth="1"/>
    <col min="10278" max="10278" width="10.125" style="541" customWidth="1"/>
    <col min="10279" max="10280" width="9.375" style="541" customWidth="1"/>
    <col min="10281" max="10292" width="0" style="541" hidden="1" customWidth="1"/>
    <col min="10293" max="10496" width="9" style="541"/>
    <col min="10497" max="10497" width="3.875" style="541" customWidth="1"/>
    <col min="10498" max="10498" width="16.5" style="541" customWidth="1"/>
    <col min="10499" max="10500" width="10.125" style="541" customWidth="1"/>
    <col min="10501" max="10502" width="9.375" style="541" customWidth="1"/>
    <col min="10503" max="10515" width="0" style="541" hidden="1" customWidth="1"/>
    <col min="10516" max="10516" width="8.375" style="541" bestFit="1" customWidth="1"/>
    <col min="10517" max="10517" width="10.125" style="541" customWidth="1"/>
    <col min="10518" max="10519" width="9.375" style="541" customWidth="1"/>
    <col min="10520" max="10532" width="0" style="541" hidden="1" customWidth="1"/>
    <col min="10533" max="10533" width="9.375" style="541" bestFit="1" customWidth="1"/>
    <col min="10534" max="10534" width="10.125" style="541" customWidth="1"/>
    <col min="10535" max="10536" width="9.375" style="541" customWidth="1"/>
    <col min="10537" max="10548" width="0" style="541" hidden="1" customWidth="1"/>
    <col min="10549" max="10752" width="9" style="541"/>
    <col min="10753" max="10753" width="3.875" style="541" customWidth="1"/>
    <col min="10754" max="10754" width="16.5" style="541" customWidth="1"/>
    <col min="10755" max="10756" width="10.125" style="541" customWidth="1"/>
    <col min="10757" max="10758" width="9.375" style="541" customWidth="1"/>
    <col min="10759" max="10771" width="0" style="541" hidden="1" customWidth="1"/>
    <col min="10772" max="10772" width="8.375" style="541" bestFit="1" customWidth="1"/>
    <col min="10773" max="10773" width="10.125" style="541" customWidth="1"/>
    <col min="10774" max="10775" width="9.375" style="541" customWidth="1"/>
    <col min="10776" max="10788" width="0" style="541" hidden="1" customWidth="1"/>
    <col min="10789" max="10789" width="9.375" style="541" bestFit="1" customWidth="1"/>
    <col min="10790" max="10790" width="10.125" style="541" customWidth="1"/>
    <col min="10791" max="10792" width="9.375" style="541" customWidth="1"/>
    <col min="10793" max="10804" width="0" style="541" hidden="1" customWidth="1"/>
    <col min="10805" max="11008" width="9" style="541"/>
    <col min="11009" max="11009" width="3.875" style="541" customWidth="1"/>
    <col min="11010" max="11010" width="16.5" style="541" customWidth="1"/>
    <col min="11011" max="11012" width="10.125" style="541" customWidth="1"/>
    <col min="11013" max="11014" width="9.375" style="541" customWidth="1"/>
    <col min="11015" max="11027" width="0" style="541" hidden="1" customWidth="1"/>
    <col min="11028" max="11028" width="8.375" style="541" bestFit="1" customWidth="1"/>
    <col min="11029" max="11029" width="10.125" style="541" customWidth="1"/>
    <col min="11030" max="11031" width="9.375" style="541" customWidth="1"/>
    <col min="11032" max="11044" width="0" style="541" hidden="1" customWidth="1"/>
    <col min="11045" max="11045" width="9.375" style="541" bestFit="1" customWidth="1"/>
    <col min="11046" max="11046" width="10.125" style="541" customWidth="1"/>
    <col min="11047" max="11048" width="9.375" style="541" customWidth="1"/>
    <col min="11049" max="11060" width="0" style="541" hidden="1" customWidth="1"/>
    <col min="11061" max="11264" width="9" style="541"/>
    <col min="11265" max="11265" width="3.875" style="541" customWidth="1"/>
    <col min="11266" max="11266" width="16.5" style="541" customWidth="1"/>
    <col min="11267" max="11268" width="10.125" style="541" customWidth="1"/>
    <col min="11269" max="11270" width="9.375" style="541" customWidth="1"/>
    <col min="11271" max="11283" width="0" style="541" hidden="1" customWidth="1"/>
    <col min="11284" max="11284" width="8.375" style="541" bestFit="1" customWidth="1"/>
    <col min="11285" max="11285" width="10.125" style="541" customWidth="1"/>
    <col min="11286" max="11287" width="9.375" style="541" customWidth="1"/>
    <col min="11288" max="11300" width="0" style="541" hidden="1" customWidth="1"/>
    <col min="11301" max="11301" width="9.375" style="541" bestFit="1" customWidth="1"/>
    <col min="11302" max="11302" width="10.125" style="541" customWidth="1"/>
    <col min="11303" max="11304" width="9.375" style="541" customWidth="1"/>
    <col min="11305" max="11316" width="0" style="541" hidden="1" customWidth="1"/>
    <col min="11317" max="11520" width="9" style="541"/>
    <col min="11521" max="11521" width="3.875" style="541" customWidth="1"/>
    <col min="11522" max="11522" width="16.5" style="541" customWidth="1"/>
    <col min="11523" max="11524" width="10.125" style="541" customWidth="1"/>
    <col min="11525" max="11526" width="9.375" style="541" customWidth="1"/>
    <col min="11527" max="11539" width="0" style="541" hidden="1" customWidth="1"/>
    <col min="11540" max="11540" width="8.375" style="541" bestFit="1" customWidth="1"/>
    <col min="11541" max="11541" width="10.125" style="541" customWidth="1"/>
    <col min="11542" max="11543" width="9.375" style="541" customWidth="1"/>
    <col min="11544" max="11556" width="0" style="541" hidden="1" customWidth="1"/>
    <col min="11557" max="11557" width="9.375" style="541" bestFit="1" customWidth="1"/>
    <col min="11558" max="11558" width="10.125" style="541" customWidth="1"/>
    <col min="11559" max="11560" width="9.375" style="541" customWidth="1"/>
    <col min="11561" max="11572" width="0" style="541" hidden="1" customWidth="1"/>
    <col min="11573" max="11776" width="9" style="541"/>
    <col min="11777" max="11777" width="3.875" style="541" customWidth="1"/>
    <col min="11778" max="11778" width="16.5" style="541" customWidth="1"/>
    <col min="11779" max="11780" width="10.125" style="541" customWidth="1"/>
    <col min="11781" max="11782" width="9.375" style="541" customWidth="1"/>
    <col min="11783" max="11795" width="0" style="541" hidden="1" customWidth="1"/>
    <col min="11796" max="11796" width="8.375" style="541" bestFit="1" customWidth="1"/>
    <col min="11797" max="11797" width="10.125" style="541" customWidth="1"/>
    <col min="11798" max="11799" width="9.375" style="541" customWidth="1"/>
    <col min="11800" max="11812" width="0" style="541" hidden="1" customWidth="1"/>
    <col min="11813" max="11813" width="9.375" style="541" bestFit="1" customWidth="1"/>
    <col min="11814" max="11814" width="10.125" style="541" customWidth="1"/>
    <col min="11815" max="11816" width="9.375" style="541" customWidth="1"/>
    <col min="11817" max="11828" width="0" style="541" hidden="1" customWidth="1"/>
    <col min="11829" max="12032" width="9" style="541"/>
    <col min="12033" max="12033" width="3.875" style="541" customWidth="1"/>
    <col min="12034" max="12034" width="16.5" style="541" customWidth="1"/>
    <col min="12035" max="12036" width="10.125" style="541" customWidth="1"/>
    <col min="12037" max="12038" width="9.375" style="541" customWidth="1"/>
    <col min="12039" max="12051" width="0" style="541" hidden="1" customWidth="1"/>
    <col min="12052" max="12052" width="8.375" style="541" bestFit="1" customWidth="1"/>
    <col min="12053" max="12053" width="10.125" style="541" customWidth="1"/>
    <col min="12054" max="12055" width="9.375" style="541" customWidth="1"/>
    <col min="12056" max="12068" width="0" style="541" hidden="1" customWidth="1"/>
    <col min="12069" max="12069" width="9.375" style="541" bestFit="1" customWidth="1"/>
    <col min="12070" max="12070" width="10.125" style="541" customWidth="1"/>
    <col min="12071" max="12072" width="9.375" style="541" customWidth="1"/>
    <col min="12073" max="12084" width="0" style="541" hidden="1" customWidth="1"/>
    <col min="12085" max="12288" width="9" style="541"/>
    <col min="12289" max="12289" width="3.875" style="541" customWidth="1"/>
    <col min="12290" max="12290" width="16.5" style="541" customWidth="1"/>
    <col min="12291" max="12292" width="10.125" style="541" customWidth="1"/>
    <col min="12293" max="12294" width="9.375" style="541" customWidth="1"/>
    <col min="12295" max="12307" width="0" style="541" hidden="1" customWidth="1"/>
    <col min="12308" max="12308" width="8.375" style="541" bestFit="1" customWidth="1"/>
    <col min="12309" max="12309" width="10.125" style="541" customWidth="1"/>
    <col min="12310" max="12311" width="9.375" style="541" customWidth="1"/>
    <col min="12312" max="12324" width="0" style="541" hidden="1" customWidth="1"/>
    <col min="12325" max="12325" width="9.375" style="541" bestFit="1" customWidth="1"/>
    <col min="12326" max="12326" width="10.125" style="541" customWidth="1"/>
    <col min="12327" max="12328" width="9.375" style="541" customWidth="1"/>
    <col min="12329" max="12340" width="0" style="541" hidden="1" customWidth="1"/>
    <col min="12341" max="12544" width="9" style="541"/>
    <col min="12545" max="12545" width="3.875" style="541" customWidth="1"/>
    <col min="12546" max="12546" width="16.5" style="541" customWidth="1"/>
    <col min="12547" max="12548" width="10.125" style="541" customWidth="1"/>
    <col min="12549" max="12550" width="9.375" style="541" customWidth="1"/>
    <col min="12551" max="12563" width="0" style="541" hidden="1" customWidth="1"/>
    <col min="12564" max="12564" width="8.375" style="541" bestFit="1" customWidth="1"/>
    <col min="12565" max="12565" width="10.125" style="541" customWidth="1"/>
    <col min="12566" max="12567" width="9.375" style="541" customWidth="1"/>
    <col min="12568" max="12580" width="0" style="541" hidden="1" customWidth="1"/>
    <col min="12581" max="12581" width="9.375" style="541" bestFit="1" customWidth="1"/>
    <col min="12582" max="12582" width="10.125" style="541" customWidth="1"/>
    <col min="12583" max="12584" width="9.375" style="541" customWidth="1"/>
    <col min="12585" max="12596" width="0" style="541" hidden="1" customWidth="1"/>
    <col min="12597" max="12800" width="9" style="541"/>
    <col min="12801" max="12801" width="3.875" style="541" customWidth="1"/>
    <col min="12802" max="12802" width="16.5" style="541" customWidth="1"/>
    <col min="12803" max="12804" width="10.125" style="541" customWidth="1"/>
    <col min="12805" max="12806" width="9.375" style="541" customWidth="1"/>
    <col min="12807" max="12819" width="0" style="541" hidden="1" customWidth="1"/>
    <col min="12820" max="12820" width="8.375" style="541" bestFit="1" customWidth="1"/>
    <col min="12821" max="12821" width="10.125" style="541" customWidth="1"/>
    <col min="12822" max="12823" width="9.375" style="541" customWidth="1"/>
    <col min="12824" max="12836" width="0" style="541" hidden="1" customWidth="1"/>
    <col min="12837" max="12837" width="9.375" style="541" bestFit="1" customWidth="1"/>
    <col min="12838" max="12838" width="10.125" style="541" customWidth="1"/>
    <col min="12839" max="12840" width="9.375" style="541" customWidth="1"/>
    <col min="12841" max="12852" width="0" style="541" hidden="1" customWidth="1"/>
    <col min="12853" max="13056" width="9" style="541"/>
    <col min="13057" max="13057" width="3.875" style="541" customWidth="1"/>
    <col min="13058" max="13058" width="16.5" style="541" customWidth="1"/>
    <col min="13059" max="13060" width="10.125" style="541" customWidth="1"/>
    <col min="13061" max="13062" width="9.375" style="541" customWidth="1"/>
    <col min="13063" max="13075" width="0" style="541" hidden="1" customWidth="1"/>
    <col min="13076" max="13076" width="8.375" style="541" bestFit="1" customWidth="1"/>
    <col min="13077" max="13077" width="10.125" style="541" customWidth="1"/>
    <col min="13078" max="13079" width="9.375" style="541" customWidth="1"/>
    <col min="13080" max="13092" width="0" style="541" hidden="1" customWidth="1"/>
    <col min="13093" max="13093" width="9.375" style="541" bestFit="1" customWidth="1"/>
    <col min="13094" max="13094" width="10.125" style="541" customWidth="1"/>
    <col min="13095" max="13096" width="9.375" style="541" customWidth="1"/>
    <col min="13097" max="13108" width="0" style="541" hidden="1" customWidth="1"/>
    <col min="13109" max="13312" width="9" style="541"/>
    <col min="13313" max="13313" width="3.875" style="541" customWidth="1"/>
    <col min="13314" max="13314" width="16.5" style="541" customWidth="1"/>
    <col min="13315" max="13316" width="10.125" style="541" customWidth="1"/>
    <col min="13317" max="13318" width="9.375" style="541" customWidth="1"/>
    <col min="13319" max="13331" width="0" style="541" hidden="1" customWidth="1"/>
    <col min="13332" max="13332" width="8.375" style="541" bestFit="1" customWidth="1"/>
    <col min="13333" max="13333" width="10.125" style="541" customWidth="1"/>
    <col min="13334" max="13335" width="9.375" style="541" customWidth="1"/>
    <col min="13336" max="13348" width="0" style="541" hidden="1" customWidth="1"/>
    <col min="13349" max="13349" width="9.375" style="541" bestFit="1" customWidth="1"/>
    <col min="13350" max="13350" width="10.125" style="541" customWidth="1"/>
    <col min="13351" max="13352" width="9.375" style="541" customWidth="1"/>
    <col min="13353" max="13364" width="0" style="541" hidden="1" customWidth="1"/>
    <col min="13365" max="13568" width="9" style="541"/>
    <col min="13569" max="13569" width="3.875" style="541" customWidth="1"/>
    <col min="13570" max="13570" width="16.5" style="541" customWidth="1"/>
    <col min="13571" max="13572" width="10.125" style="541" customWidth="1"/>
    <col min="13573" max="13574" width="9.375" style="541" customWidth="1"/>
    <col min="13575" max="13587" width="0" style="541" hidden="1" customWidth="1"/>
    <col min="13588" max="13588" width="8.375" style="541" bestFit="1" customWidth="1"/>
    <col min="13589" max="13589" width="10.125" style="541" customWidth="1"/>
    <col min="13590" max="13591" width="9.375" style="541" customWidth="1"/>
    <col min="13592" max="13604" width="0" style="541" hidden="1" customWidth="1"/>
    <col min="13605" max="13605" width="9.375" style="541" bestFit="1" customWidth="1"/>
    <col min="13606" max="13606" width="10.125" style="541" customWidth="1"/>
    <col min="13607" max="13608" width="9.375" style="541" customWidth="1"/>
    <col min="13609" max="13620" width="0" style="541" hidden="1" customWidth="1"/>
    <col min="13621" max="13824" width="9" style="541"/>
    <col min="13825" max="13825" width="3.875" style="541" customWidth="1"/>
    <col min="13826" max="13826" width="16.5" style="541" customWidth="1"/>
    <col min="13827" max="13828" width="10.125" style="541" customWidth="1"/>
    <col min="13829" max="13830" width="9.375" style="541" customWidth="1"/>
    <col min="13831" max="13843" width="0" style="541" hidden="1" customWidth="1"/>
    <col min="13844" max="13844" width="8.375" style="541" bestFit="1" customWidth="1"/>
    <col min="13845" max="13845" width="10.125" style="541" customWidth="1"/>
    <col min="13846" max="13847" width="9.375" style="541" customWidth="1"/>
    <col min="13848" max="13860" width="0" style="541" hidden="1" customWidth="1"/>
    <col min="13861" max="13861" width="9.375" style="541" bestFit="1" customWidth="1"/>
    <col min="13862" max="13862" width="10.125" style="541" customWidth="1"/>
    <col min="13863" max="13864" width="9.375" style="541" customWidth="1"/>
    <col min="13865" max="13876" width="0" style="541" hidden="1" customWidth="1"/>
    <col min="13877" max="14080" width="9" style="541"/>
    <col min="14081" max="14081" width="3.875" style="541" customWidth="1"/>
    <col min="14082" max="14082" width="16.5" style="541" customWidth="1"/>
    <col min="14083" max="14084" width="10.125" style="541" customWidth="1"/>
    <col min="14085" max="14086" width="9.375" style="541" customWidth="1"/>
    <col min="14087" max="14099" width="0" style="541" hidden="1" customWidth="1"/>
    <col min="14100" max="14100" width="8.375" style="541" bestFit="1" customWidth="1"/>
    <col min="14101" max="14101" width="10.125" style="541" customWidth="1"/>
    <col min="14102" max="14103" width="9.375" style="541" customWidth="1"/>
    <col min="14104" max="14116" width="0" style="541" hidden="1" customWidth="1"/>
    <col min="14117" max="14117" width="9.375" style="541" bestFit="1" customWidth="1"/>
    <col min="14118" max="14118" width="10.125" style="541" customWidth="1"/>
    <col min="14119" max="14120" width="9.375" style="541" customWidth="1"/>
    <col min="14121" max="14132" width="0" style="541" hidden="1" customWidth="1"/>
    <col min="14133" max="14336" width="9" style="541"/>
    <col min="14337" max="14337" width="3.875" style="541" customWidth="1"/>
    <col min="14338" max="14338" width="16.5" style="541" customWidth="1"/>
    <col min="14339" max="14340" width="10.125" style="541" customWidth="1"/>
    <col min="14341" max="14342" width="9.375" style="541" customWidth="1"/>
    <col min="14343" max="14355" width="0" style="541" hidden="1" customWidth="1"/>
    <col min="14356" max="14356" width="8.375" style="541" bestFit="1" customWidth="1"/>
    <col min="14357" max="14357" width="10.125" style="541" customWidth="1"/>
    <col min="14358" max="14359" width="9.375" style="541" customWidth="1"/>
    <col min="14360" max="14372" width="0" style="541" hidden="1" customWidth="1"/>
    <col min="14373" max="14373" width="9.375" style="541" bestFit="1" customWidth="1"/>
    <col min="14374" max="14374" width="10.125" style="541" customWidth="1"/>
    <col min="14375" max="14376" width="9.375" style="541" customWidth="1"/>
    <col min="14377" max="14388" width="0" style="541" hidden="1" customWidth="1"/>
    <col min="14389" max="14592" width="9" style="541"/>
    <col min="14593" max="14593" width="3.875" style="541" customWidth="1"/>
    <col min="14594" max="14594" width="16.5" style="541" customWidth="1"/>
    <col min="14595" max="14596" width="10.125" style="541" customWidth="1"/>
    <col min="14597" max="14598" width="9.375" style="541" customWidth="1"/>
    <col min="14599" max="14611" width="0" style="541" hidden="1" customWidth="1"/>
    <col min="14612" max="14612" width="8.375" style="541" bestFit="1" customWidth="1"/>
    <col min="14613" max="14613" width="10.125" style="541" customWidth="1"/>
    <col min="14614" max="14615" width="9.375" style="541" customWidth="1"/>
    <col min="14616" max="14628" width="0" style="541" hidden="1" customWidth="1"/>
    <col min="14629" max="14629" width="9.375" style="541" bestFit="1" customWidth="1"/>
    <col min="14630" max="14630" width="10.125" style="541" customWidth="1"/>
    <col min="14631" max="14632" width="9.375" style="541" customWidth="1"/>
    <col min="14633" max="14644" width="0" style="541" hidden="1" customWidth="1"/>
    <col min="14645" max="14848" width="9" style="541"/>
    <col min="14849" max="14849" width="3.875" style="541" customWidth="1"/>
    <col min="14850" max="14850" width="16.5" style="541" customWidth="1"/>
    <col min="14851" max="14852" width="10.125" style="541" customWidth="1"/>
    <col min="14853" max="14854" width="9.375" style="541" customWidth="1"/>
    <col min="14855" max="14867" width="0" style="541" hidden="1" customWidth="1"/>
    <col min="14868" max="14868" width="8.375" style="541" bestFit="1" customWidth="1"/>
    <col min="14869" max="14869" width="10.125" style="541" customWidth="1"/>
    <col min="14870" max="14871" width="9.375" style="541" customWidth="1"/>
    <col min="14872" max="14884" width="0" style="541" hidden="1" customWidth="1"/>
    <col min="14885" max="14885" width="9.375" style="541" bestFit="1" customWidth="1"/>
    <col min="14886" max="14886" width="10.125" style="541" customWidth="1"/>
    <col min="14887" max="14888" width="9.375" style="541" customWidth="1"/>
    <col min="14889" max="14900" width="0" style="541" hidden="1" customWidth="1"/>
    <col min="14901" max="15104" width="9" style="541"/>
    <col min="15105" max="15105" width="3.875" style="541" customWidth="1"/>
    <col min="15106" max="15106" width="16.5" style="541" customWidth="1"/>
    <col min="15107" max="15108" width="10.125" style="541" customWidth="1"/>
    <col min="15109" max="15110" width="9.375" style="541" customWidth="1"/>
    <col min="15111" max="15123" width="0" style="541" hidden="1" customWidth="1"/>
    <col min="15124" max="15124" width="8.375" style="541" bestFit="1" customWidth="1"/>
    <col min="15125" max="15125" width="10.125" style="541" customWidth="1"/>
    <col min="15126" max="15127" width="9.375" style="541" customWidth="1"/>
    <col min="15128" max="15140" width="0" style="541" hidden="1" customWidth="1"/>
    <col min="15141" max="15141" width="9.375" style="541" bestFit="1" customWidth="1"/>
    <col min="15142" max="15142" width="10.125" style="541" customWidth="1"/>
    <col min="15143" max="15144" width="9.375" style="541" customWidth="1"/>
    <col min="15145" max="15156" width="0" style="541" hidden="1" customWidth="1"/>
    <col min="15157" max="15360" width="9" style="541"/>
    <col min="15361" max="15361" width="3.875" style="541" customWidth="1"/>
    <col min="15362" max="15362" width="16.5" style="541" customWidth="1"/>
    <col min="15363" max="15364" width="10.125" style="541" customWidth="1"/>
    <col min="15365" max="15366" width="9.375" style="541" customWidth="1"/>
    <col min="15367" max="15379" width="0" style="541" hidden="1" customWidth="1"/>
    <col min="15380" max="15380" width="8.375" style="541" bestFit="1" customWidth="1"/>
    <col min="15381" max="15381" width="10.125" style="541" customWidth="1"/>
    <col min="15382" max="15383" width="9.375" style="541" customWidth="1"/>
    <col min="15384" max="15396" width="0" style="541" hidden="1" customWidth="1"/>
    <col min="15397" max="15397" width="9.375" style="541" bestFit="1" customWidth="1"/>
    <col min="15398" max="15398" width="10.125" style="541" customWidth="1"/>
    <col min="15399" max="15400" width="9.375" style="541" customWidth="1"/>
    <col min="15401" max="15412" width="0" style="541" hidden="1" customWidth="1"/>
    <col min="15413" max="15616" width="9" style="541"/>
    <col min="15617" max="15617" width="3.875" style="541" customWidth="1"/>
    <col min="15618" max="15618" width="16.5" style="541" customWidth="1"/>
    <col min="15619" max="15620" width="10.125" style="541" customWidth="1"/>
    <col min="15621" max="15622" width="9.375" style="541" customWidth="1"/>
    <col min="15623" max="15635" width="0" style="541" hidden="1" customWidth="1"/>
    <col min="15636" max="15636" width="8.375" style="541" bestFit="1" customWidth="1"/>
    <col min="15637" max="15637" width="10.125" style="541" customWidth="1"/>
    <col min="15638" max="15639" width="9.375" style="541" customWidth="1"/>
    <col min="15640" max="15652" width="0" style="541" hidden="1" customWidth="1"/>
    <col min="15653" max="15653" width="9.375" style="541" bestFit="1" customWidth="1"/>
    <col min="15654" max="15654" width="10.125" style="541" customWidth="1"/>
    <col min="15655" max="15656" width="9.375" style="541" customWidth="1"/>
    <col min="15657" max="15668" width="0" style="541" hidden="1" customWidth="1"/>
    <col min="15669" max="15872" width="9" style="541"/>
    <col min="15873" max="15873" width="3.875" style="541" customWidth="1"/>
    <col min="15874" max="15874" width="16.5" style="541" customWidth="1"/>
    <col min="15875" max="15876" width="10.125" style="541" customWidth="1"/>
    <col min="15877" max="15878" width="9.375" style="541" customWidth="1"/>
    <col min="15879" max="15891" width="0" style="541" hidden="1" customWidth="1"/>
    <col min="15892" max="15892" width="8.375" style="541" bestFit="1" customWidth="1"/>
    <col min="15893" max="15893" width="10.125" style="541" customWidth="1"/>
    <col min="15894" max="15895" width="9.375" style="541" customWidth="1"/>
    <col min="15896" max="15908" width="0" style="541" hidden="1" customWidth="1"/>
    <col min="15909" max="15909" width="9.375" style="541" bestFit="1" customWidth="1"/>
    <col min="15910" max="15910" width="10.125" style="541" customWidth="1"/>
    <col min="15911" max="15912" width="9.375" style="541" customWidth="1"/>
    <col min="15913" max="15924" width="0" style="541" hidden="1" customWidth="1"/>
    <col min="15925" max="16128" width="9" style="541"/>
    <col min="16129" max="16129" width="3.875" style="541" customWidth="1"/>
    <col min="16130" max="16130" width="16.5" style="541" customWidth="1"/>
    <col min="16131" max="16132" width="10.125" style="541" customWidth="1"/>
    <col min="16133" max="16134" width="9.375" style="541" customWidth="1"/>
    <col min="16135" max="16147" width="0" style="541" hidden="1" customWidth="1"/>
    <col min="16148" max="16148" width="8.375" style="541" bestFit="1" customWidth="1"/>
    <col min="16149" max="16149" width="10.125" style="541" customWidth="1"/>
    <col min="16150" max="16151" width="9.375" style="541" customWidth="1"/>
    <col min="16152" max="16164" width="0" style="541" hidden="1" customWidth="1"/>
    <col min="16165" max="16165" width="9.375" style="541" bestFit="1" customWidth="1"/>
    <col min="16166" max="16166" width="10.125" style="541" customWidth="1"/>
    <col min="16167" max="16168" width="9.375" style="541" customWidth="1"/>
    <col min="16169" max="16180" width="0" style="541" hidden="1" customWidth="1"/>
    <col min="16181" max="16384" width="9" style="541"/>
  </cols>
  <sheetData>
    <row r="1" spans="1:52" x14ac:dyDescent="0.25">
      <c r="A1" s="682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</row>
    <row r="2" spans="1:52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</row>
    <row r="3" spans="1:52" s="544" customFormat="1" ht="19.5" customHeight="1" x14ac:dyDescent="0.2">
      <c r="A3" s="684" t="s">
        <v>9</v>
      </c>
      <c r="B3" s="684" t="s">
        <v>292</v>
      </c>
      <c r="C3" s="684" t="s">
        <v>327</v>
      </c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  <c r="AM3" s="684"/>
      <c r="AN3" s="684"/>
      <c r="AO3" s="684"/>
      <c r="AP3" s="684"/>
      <c r="AQ3" s="684"/>
      <c r="AR3" s="684"/>
      <c r="AS3" s="684"/>
      <c r="AT3" s="684"/>
      <c r="AU3" s="684"/>
      <c r="AV3" s="684"/>
      <c r="AW3" s="684"/>
      <c r="AX3" s="684"/>
      <c r="AY3" s="684"/>
      <c r="AZ3" s="684"/>
    </row>
    <row r="4" spans="1:52" s="544" customFormat="1" ht="25.5" customHeight="1" x14ac:dyDescent="0.2">
      <c r="A4" s="684"/>
      <c r="B4" s="684"/>
      <c r="C4" s="685" t="s">
        <v>328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 t="s">
        <v>329</v>
      </c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 t="s">
        <v>330</v>
      </c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</row>
    <row r="5" spans="1:52" s="544" customFormat="1" ht="14.25" x14ac:dyDescent="0.2">
      <c r="A5" s="684"/>
      <c r="B5" s="684"/>
      <c r="C5" s="685" t="s">
        <v>306</v>
      </c>
      <c r="D5" s="685" t="s">
        <v>308</v>
      </c>
      <c r="E5" s="685" t="s">
        <v>309</v>
      </c>
      <c r="F5" s="685" t="s">
        <v>310</v>
      </c>
      <c r="G5" s="685" t="s">
        <v>311</v>
      </c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7" t="s">
        <v>77</v>
      </c>
      <c r="T5" s="685" t="s">
        <v>306</v>
      </c>
      <c r="U5" s="685" t="s">
        <v>308</v>
      </c>
      <c r="V5" s="685" t="s">
        <v>309</v>
      </c>
      <c r="W5" s="685" t="s">
        <v>310</v>
      </c>
      <c r="X5" s="685" t="s">
        <v>311</v>
      </c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7" t="s">
        <v>77</v>
      </c>
      <c r="AK5" s="685" t="s">
        <v>306</v>
      </c>
      <c r="AL5" s="685" t="s">
        <v>308</v>
      </c>
      <c r="AM5" s="685" t="s">
        <v>309</v>
      </c>
      <c r="AN5" s="685" t="s">
        <v>310</v>
      </c>
      <c r="AO5" s="685" t="s">
        <v>311</v>
      </c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</row>
    <row r="6" spans="1:52" s="544" customFormat="1" ht="21.75" customHeight="1" x14ac:dyDescent="0.2">
      <c r="A6" s="684"/>
      <c r="B6" s="684"/>
      <c r="C6" s="685"/>
      <c r="D6" s="685"/>
      <c r="E6" s="685"/>
      <c r="F6" s="685"/>
      <c r="G6" s="545" t="s">
        <v>38</v>
      </c>
      <c r="H6" s="545" t="s">
        <v>41</v>
      </c>
      <c r="I6" s="545" t="s">
        <v>40</v>
      </c>
      <c r="J6" s="545" t="s">
        <v>43</v>
      </c>
      <c r="K6" s="545" t="s">
        <v>45</v>
      </c>
      <c r="L6" s="545" t="s">
        <v>47</v>
      </c>
      <c r="M6" s="545" t="s">
        <v>49</v>
      </c>
      <c r="N6" s="545" t="s">
        <v>50</v>
      </c>
      <c r="O6" s="545" t="s">
        <v>51</v>
      </c>
      <c r="P6" s="545" t="s">
        <v>52</v>
      </c>
      <c r="Q6" s="545" t="s">
        <v>53</v>
      </c>
      <c r="R6" s="545" t="s">
        <v>54</v>
      </c>
      <c r="S6" s="687"/>
      <c r="T6" s="685"/>
      <c r="U6" s="685"/>
      <c r="V6" s="685"/>
      <c r="W6" s="685"/>
      <c r="X6" s="545" t="s">
        <v>38</v>
      </c>
      <c r="Y6" s="545" t="s">
        <v>41</v>
      </c>
      <c r="Z6" s="545" t="s">
        <v>40</v>
      </c>
      <c r="AA6" s="545" t="s">
        <v>43</v>
      </c>
      <c r="AB6" s="545" t="s">
        <v>45</v>
      </c>
      <c r="AC6" s="545" t="s">
        <v>47</v>
      </c>
      <c r="AD6" s="545" t="s">
        <v>49</v>
      </c>
      <c r="AE6" s="545" t="s">
        <v>50</v>
      </c>
      <c r="AF6" s="545" t="s">
        <v>51</v>
      </c>
      <c r="AG6" s="545" t="s">
        <v>52</v>
      </c>
      <c r="AH6" s="545" t="s">
        <v>53</v>
      </c>
      <c r="AI6" s="545" t="s">
        <v>54</v>
      </c>
      <c r="AJ6" s="687"/>
      <c r="AK6" s="685"/>
      <c r="AL6" s="685"/>
      <c r="AM6" s="685"/>
      <c r="AN6" s="685"/>
      <c r="AO6" s="545" t="s">
        <v>38</v>
      </c>
      <c r="AP6" s="545" t="s">
        <v>41</v>
      </c>
      <c r="AQ6" s="545" t="s">
        <v>40</v>
      </c>
      <c r="AR6" s="545" t="s">
        <v>43</v>
      </c>
      <c r="AS6" s="545" t="s">
        <v>45</v>
      </c>
      <c r="AT6" s="545" t="s">
        <v>47</v>
      </c>
      <c r="AU6" s="545" t="s">
        <v>49</v>
      </c>
      <c r="AV6" s="545" t="s">
        <v>50</v>
      </c>
      <c r="AW6" s="545" t="s">
        <v>51</v>
      </c>
      <c r="AX6" s="545" t="s">
        <v>52</v>
      </c>
      <c r="AY6" s="545" t="s">
        <v>53</v>
      </c>
      <c r="AZ6" s="545" t="s">
        <v>54</v>
      </c>
    </row>
    <row r="7" spans="1:52" s="544" customFormat="1" ht="26.25" customHeight="1" x14ac:dyDescent="0.2">
      <c r="A7" s="574"/>
      <c r="B7" s="574" t="s">
        <v>312</v>
      </c>
      <c r="C7" s="574">
        <f>C8+C13</f>
        <v>494000</v>
      </c>
      <c r="D7" s="574">
        <f t="shared" ref="D7:AM7" si="0">D8+D13</f>
        <v>232763</v>
      </c>
      <c r="E7" s="574">
        <f t="shared" si="0"/>
        <v>145095</v>
      </c>
      <c r="F7" s="574">
        <f>E7/C7%</f>
        <v>29.371457489878541</v>
      </c>
      <c r="G7" s="574">
        <f t="shared" si="0"/>
        <v>22303</v>
      </c>
      <c r="H7" s="574">
        <f t="shared" si="0"/>
        <v>18241</v>
      </c>
      <c r="I7" s="574">
        <f t="shared" si="0"/>
        <v>25347</v>
      </c>
      <c r="J7" s="574">
        <f t="shared" si="0"/>
        <v>23891</v>
      </c>
      <c r="K7" s="574">
        <f t="shared" si="0"/>
        <v>26570</v>
      </c>
      <c r="L7" s="574">
        <f t="shared" si="0"/>
        <v>28743</v>
      </c>
      <c r="M7" s="574">
        <f t="shared" si="0"/>
        <v>0</v>
      </c>
      <c r="N7" s="574">
        <f t="shared" si="0"/>
        <v>0</v>
      </c>
      <c r="O7" s="574">
        <f t="shared" si="0"/>
        <v>0</v>
      </c>
      <c r="P7" s="574">
        <f t="shared" si="0"/>
        <v>0</v>
      </c>
      <c r="Q7" s="574">
        <f t="shared" si="0"/>
        <v>0</v>
      </c>
      <c r="R7" s="574">
        <f t="shared" si="0"/>
        <v>0</v>
      </c>
      <c r="S7" s="574">
        <f t="shared" si="0"/>
        <v>0</v>
      </c>
      <c r="T7" s="574">
        <f t="shared" si="0"/>
        <v>45000</v>
      </c>
      <c r="U7" s="574">
        <f t="shared" si="0"/>
        <v>20269</v>
      </c>
      <c r="V7" s="574">
        <f t="shared" si="0"/>
        <v>11712</v>
      </c>
      <c r="W7" s="574">
        <f>V7/T7%</f>
        <v>26.026666666666667</v>
      </c>
      <c r="X7" s="574">
        <f t="shared" si="0"/>
        <v>1707</v>
      </c>
      <c r="Y7" s="574">
        <f t="shared" si="0"/>
        <v>1754</v>
      </c>
      <c r="Z7" s="574">
        <f t="shared" si="0"/>
        <v>1605</v>
      </c>
      <c r="AA7" s="574">
        <f t="shared" si="0"/>
        <v>1938</v>
      </c>
      <c r="AB7" s="574">
        <f t="shared" si="0"/>
        <v>2142</v>
      </c>
      <c r="AC7" s="574">
        <f t="shared" si="0"/>
        <v>2566</v>
      </c>
      <c r="AD7" s="574">
        <f t="shared" si="0"/>
        <v>0</v>
      </c>
      <c r="AE7" s="574">
        <f t="shared" si="0"/>
        <v>0</v>
      </c>
      <c r="AF7" s="574">
        <f t="shared" si="0"/>
        <v>0</v>
      </c>
      <c r="AG7" s="574">
        <f t="shared" si="0"/>
        <v>0</v>
      </c>
      <c r="AH7" s="574">
        <f t="shared" si="0"/>
        <v>0</v>
      </c>
      <c r="AI7" s="574">
        <f t="shared" si="0"/>
        <v>0</v>
      </c>
      <c r="AJ7" s="574">
        <f t="shared" si="0"/>
        <v>0</v>
      </c>
      <c r="AK7" s="574">
        <f t="shared" si="0"/>
        <v>335800</v>
      </c>
      <c r="AL7" s="574">
        <f t="shared" si="0"/>
        <v>151675</v>
      </c>
      <c r="AM7" s="574">
        <f t="shared" si="0"/>
        <v>87483</v>
      </c>
      <c r="AN7" s="574">
        <f>AM7/AK7%</f>
        <v>26.052114353782013</v>
      </c>
      <c r="AO7" s="574">
        <f t="shared" ref="AO7:AZ7" si="1">AO8+AO13</f>
        <v>15000</v>
      </c>
      <c r="AP7" s="574">
        <f t="shared" si="1"/>
        <v>11855</v>
      </c>
      <c r="AQ7" s="574">
        <f t="shared" si="1"/>
        <v>17256</v>
      </c>
      <c r="AR7" s="574">
        <f t="shared" si="1"/>
        <v>14594</v>
      </c>
      <c r="AS7" s="574">
        <f t="shared" si="1"/>
        <v>14353</v>
      </c>
      <c r="AT7" s="574">
        <f t="shared" si="1"/>
        <v>14188</v>
      </c>
      <c r="AU7" s="574">
        <f t="shared" si="1"/>
        <v>0</v>
      </c>
      <c r="AV7" s="574">
        <f t="shared" si="1"/>
        <v>0</v>
      </c>
      <c r="AW7" s="574">
        <f t="shared" si="1"/>
        <v>0</v>
      </c>
      <c r="AX7" s="574">
        <f t="shared" si="1"/>
        <v>0</v>
      </c>
      <c r="AY7" s="574">
        <f t="shared" si="1"/>
        <v>0</v>
      </c>
      <c r="AZ7" s="574">
        <f t="shared" si="1"/>
        <v>0</v>
      </c>
    </row>
    <row r="8" spans="1:52" s="544" customFormat="1" ht="26.25" customHeight="1" x14ac:dyDescent="0.2">
      <c r="A8" s="574" t="s">
        <v>12</v>
      </c>
      <c r="B8" s="575" t="s">
        <v>313</v>
      </c>
      <c r="C8" s="574">
        <f>SUM(C9:C12)</f>
        <v>26700</v>
      </c>
      <c r="D8" s="574">
        <f t="shared" ref="D8:AS8" si="2">SUM(D9:D12)</f>
        <v>12846</v>
      </c>
      <c r="E8" s="574">
        <f t="shared" si="2"/>
        <v>8187</v>
      </c>
      <c r="F8" s="574">
        <f t="shared" ref="F8:F21" si="3">E8/C8%</f>
        <v>30.662921348314608</v>
      </c>
      <c r="G8" s="574">
        <f t="shared" si="2"/>
        <v>1111</v>
      </c>
      <c r="H8" s="574">
        <f t="shared" si="2"/>
        <v>1187</v>
      </c>
      <c r="I8" s="574">
        <f t="shared" si="2"/>
        <v>1028</v>
      </c>
      <c r="J8" s="574">
        <f t="shared" si="2"/>
        <v>1392</v>
      </c>
      <c r="K8" s="574">
        <f t="shared" si="2"/>
        <v>1560</v>
      </c>
      <c r="L8" s="574">
        <f t="shared" si="2"/>
        <v>1909</v>
      </c>
      <c r="M8" s="574">
        <f t="shared" si="2"/>
        <v>0</v>
      </c>
      <c r="N8" s="574">
        <f t="shared" si="2"/>
        <v>0</v>
      </c>
      <c r="O8" s="574">
        <f t="shared" si="2"/>
        <v>0</v>
      </c>
      <c r="P8" s="574">
        <f t="shared" si="2"/>
        <v>0</v>
      </c>
      <c r="Q8" s="574">
        <f t="shared" si="2"/>
        <v>0</v>
      </c>
      <c r="R8" s="574">
        <f t="shared" si="2"/>
        <v>0</v>
      </c>
      <c r="S8" s="574">
        <f t="shared" si="2"/>
        <v>0</v>
      </c>
      <c r="T8" s="574">
        <f t="shared" si="2"/>
        <v>13400</v>
      </c>
      <c r="U8" s="574">
        <f t="shared" si="2"/>
        <v>7091</v>
      </c>
      <c r="V8" s="574">
        <f t="shared" si="2"/>
        <v>4621</v>
      </c>
      <c r="W8" s="574">
        <f t="shared" ref="W8:W21" si="4">V8/T8%</f>
        <v>34.485074626865675</v>
      </c>
      <c r="X8" s="574">
        <f t="shared" si="2"/>
        <v>561</v>
      </c>
      <c r="Y8" s="574">
        <f t="shared" si="2"/>
        <v>709</v>
      </c>
      <c r="Z8" s="574">
        <f t="shared" si="2"/>
        <v>578</v>
      </c>
      <c r="AA8" s="574">
        <f t="shared" si="2"/>
        <v>820</v>
      </c>
      <c r="AB8" s="574">
        <f t="shared" si="2"/>
        <v>867</v>
      </c>
      <c r="AC8" s="574">
        <f t="shared" si="2"/>
        <v>1086</v>
      </c>
      <c r="AD8" s="574">
        <f t="shared" si="2"/>
        <v>0</v>
      </c>
      <c r="AE8" s="574">
        <f t="shared" si="2"/>
        <v>0</v>
      </c>
      <c r="AF8" s="574">
        <f t="shared" si="2"/>
        <v>0</v>
      </c>
      <c r="AG8" s="574">
        <f t="shared" si="2"/>
        <v>0</v>
      </c>
      <c r="AH8" s="574">
        <f t="shared" si="2"/>
        <v>0</v>
      </c>
      <c r="AI8" s="574">
        <f t="shared" si="2"/>
        <v>0</v>
      </c>
      <c r="AJ8" s="574">
        <f t="shared" si="2"/>
        <v>0</v>
      </c>
      <c r="AK8" s="574">
        <f t="shared" si="2"/>
        <v>12600</v>
      </c>
      <c r="AL8" s="574">
        <f t="shared" si="2"/>
        <v>5618</v>
      </c>
      <c r="AM8" s="574">
        <f t="shared" si="2"/>
        <v>3526</v>
      </c>
      <c r="AN8" s="574">
        <f t="shared" ref="AN8:AN21" si="5">AM8/AK8%</f>
        <v>27.984126984126984</v>
      </c>
      <c r="AO8" s="574">
        <f t="shared" si="2"/>
        <v>542</v>
      </c>
      <c r="AP8" s="574">
        <f t="shared" si="2"/>
        <v>475</v>
      </c>
      <c r="AQ8" s="574">
        <f t="shared" si="2"/>
        <v>446</v>
      </c>
      <c r="AR8" s="574">
        <f t="shared" si="2"/>
        <v>565</v>
      </c>
      <c r="AS8" s="574">
        <f t="shared" si="2"/>
        <v>687</v>
      </c>
      <c r="AT8" s="574">
        <f t="shared" ref="AT8:AZ8" si="6">SUM(AT9:AT11)</f>
        <v>574</v>
      </c>
      <c r="AU8" s="574">
        <f t="shared" si="6"/>
        <v>0</v>
      </c>
      <c r="AV8" s="574">
        <f t="shared" si="6"/>
        <v>0</v>
      </c>
      <c r="AW8" s="574">
        <f t="shared" si="6"/>
        <v>0</v>
      </c>
      <c r="AX8" s="574">
        <f t="shared" si="6"/>
        <v>0</v>
      </c>
      <c r="AY8" s="574">
        <f t="shared" si="6"/>
        <v>0</v>
      </c>
      <c r="AZ8" s="574">
        <f t="shared" si="6"/>
        <v>0</v>
      </c>
    </row>
    <row r="9" spans="1:52" ht="26.25" customHeight="1" x14ac:dyDescent="0.25">
      <c r="A9" s="592">
        <v>1</v>
      </c>
      <c r="B9" s="593" t="s">
        <v>314</v>
      </c>
      <c r="C9" s="592">
        <v>20000</v>
      </c>
      <c r="D9" s="604">
        <v>10002</v>
      </c>
      <c r="E9" s="592">
        <f>SUM(G9:R9)</f>
        <v>6301</v>
      </c>
      <c r="F9" s="592">
        <f>E9/C9*100</f>
        <v>31.504999999999999</v>
      </c>
      <c r="G9" s="560">
        <v>840</v>
      </c>
      <c r="H9" s="560">
        <v>973</v>
      </c>
      <c r="I9" s="560">
        <v>794</v>
      </c>
      <c r="J9" s="560">
        <v>1071</v>
      </c>
      <c r="K9" s="560">
        <v>1175</v>
      </c>
      <c r="L9" s="560">
        <v>1448</v>
      </c>
      <c r="M9" s="560"/>
      <c r="N9" s="560"/>
      <c r="O9" s="560"/>
      <c r="P9" s="560"/>
      <c r="Q9" s="560"/>
      <c r="R9" s="560"/>
      <c r="S9" s="605"/>
      <c r="T9" s="592">
        <v>11300</v>
      </c>
      <c r="U9" s="606">
        <v>6164</v>
      </c>
      <c r="V9" s="592">
        <f>SUM(X9:AI9)</f>
        <v>4033</v>
      </c>
      <c r="W9" s="592">
        <f>V9/T9*100</f>
        <v>35.690265486725664</v>
      </c>
      <c r="X9" s="560">
        <v>508</v>
      </c>
      <c r="Y9" s="560">
        <v>647</v>
      </c>
      <c r="Z9" s="560">
        <v>532</v>
      </c>
      <c r="AA9" s="560">
        <f>11+382+311</f>
        <v>704</v>
      </c>
      <c r="AB9" s="560">
        <f>21+381+329</f>
        <v>731</v>
      </c>
      <c r="AC9" s="560">
        <v>911</v>
      </c>
      <c r="AD9" s="560"/>
      <c r="AE9" s="560"/>
      <c r="AF9" s="560"/>
      <c r="AG9" s="560"/>
      <c r="AH9" s="560"/>
      <c r="AI9" s="560"/>
      <c r="AJ9" s="605"/>
      <c r="AK9" s="592">
        <v>8500</v>
      </c>
      <c r="AL9" s="606">
        <v>3838</v>
      </c>
      <c r="AM9" s="592">
        <f>SUM(AO9:AZ9)</f>
        <v>2268</v>
      </c>
      <c r="AN9" s="592">
        <f>AM9/AK9*100</f>
        <v>26.682352941176468</v>
      </c>
      <c r="AO9" s="560">
        <v>332</v>
      </c>
      <c r="AP9" s="560">
        <v>326</v>
      </c>
      <c r="AQ9" s="560">
        <v>262</v>
      </c>
      <c r="AR9" s="560">
        <v>367</v>
      </c>
      <c r="AS9" s="560">
        <v>444</v>
      </c>
      <c r="AT9" s="560">
        <v>537</v>
      </c>
      <c r="AU9" s="560"/>
      <c r="AV9" s="560"/>
      <c r="AW9" s="560"/>
      <c r="AX9" s="560"/>
      <c r="AY9" s="560"/>
      <c r="AZ9" s="560"/>
    </row>
    <row r="10" spans="1:52" ht="26.25" customHeight="1" x14ac:dyDescent="0.25">
      <c r="A10" s="592">
        <v>2</v>
      </c>
      <c r="B10" s="593" t="s">
        <v>315</v>
      </c>
      <c r="C10" s="592">
        <v>1600</v>
      </c>
      <c r="D10" s="604">
        <v>728</v>
      </c>
      <c r="E10" s="592">
        <f>SUM(G10:R10)</f>
        <v>375</v>
      </c>
      <c r="F10" s="592">
        <f t="shared" si="3"/>
        <v>23.4375</v>
      </c>
      <c r="G10" s="560">
        <v>61</v>
      </c>
      <c r="H10" s="560">
        <v>43</v>
      </c>
      <c r="I10" s="560">
        <v>32</v>
      </c>
      <c r="J10" s="560">
        <v>64</v>
      </c>
      <c r="K10" s="560">
        <v>85</v>
      </c>
      <c r="L10" s="560">
        <v>90</v>
      </c>
      <c r="M10" s="560"/>
      <c r="N10" s="560"/>
      <c r="O10" s="560"/>
      <c r="P10" s="560"/>
      <c r="Q10" s="560"/>
      <c r="R10" s="560"/>
      <c r="S10" s="605"/>
      <c r="T10" s="592">
        <v>1000</v>
      </c>
      <c r="U10" s="606">
        <v>498</v>
      </c>
      <c r="V10" s="592">
        <f>SUM(X10:AI10)</f>
        <v>233</v>
      </c>
      <c r="W10" s="592">
        <f t="shared" si="4"/>
        <v>23.3</v>
      </c>
      <c r="X10" s="560">
        <v>30</v>
      </c>
      <c r="Y10" s="560">
        <v>29</v>
      </c>
      <c r="Z10" s="560">
        <v>11</v>
      </c>
      <c r="AA10" s="560">
        <v>50</v>
      </c>
      <c r="AB10" s="560">
        <v>58</v>
      </c>
      <c r="AC10" s="560">
        <v>55</v>
      </c>
      <c r="AD10" s="560"/>
      <c r="AE10" s="560"/>
      <c r="AF10" s="560"/>
      <c r="AG10" s="560"/>
      <c r="AH10" s="560"/>
      <c r="AI10" s="560"/>
      <c r="AJ10" s="605"/>
      <c r="AK10" s="592">
        <v>500</v>
      </c>
      <c r="AL10" s="606">
        <v>224</v>
      </c>
      <c r="AM10" s="592">
        <f>SUM(AO10:AZ10)</f>
        <v>140</v>
      </c>
      <c r="AN10" s="592">
        <f t="shared" si="5"/>
        <v>28</v>
      </c>
      <c r="AO10" s="560">
        <v>31</v>
      </c>
      <c r="AP10" s="560">
        <v>13</v>
      </c>
      <c r="AQ10" s="560">
        <v>21</v>
      </c>
      <c r="AR10" s="560">
        <v>14</v>
      </c>
      <c r="AS10" s="560">
        <v>26</v>
      </c>
      <c r="AT10" s="560">
        <v>35</v>
      </c>
      <c r="AU10" s="560"/>
      <c r="AV10" s="560"/>
      <c r="AW10" s="560"/>
      <c r="AX10" s="560"/>
      <c r="AY10" s="560"/>
      <c r="AZ10" s="560"/>
    </row>
    <row r="11" spans="1:52" ht="26.25" customHeight="1" x14ac:dyDescent="0.25">
      <c r="A11" s="592">
        <v>3</v>
      </c>
      <c r="B11" s="593" t="s">
        <v>316</v>
      </c>
      <c r="C11" s="592">
        <v>1500</v>
      </c>
      <c r="D11" s="604">
        <v>519</v>
      </c>
      <c r="E11" s="592">
        <f>SUM(G11:R11)</f>
        <v>377</v>
      </c>
      <c r="F11" s="592">
        <f t="shared" si="3"/>
        <v>25.133333333333333</v>
      </c>
      <c r="G11" s="560">
        <v>28</v>
      </c>
      <c r="H11" s="560">
        <v>34</v>
      </c>
      <c r="I11" s="560">
        <v>39</v>
      </c>
      <c r="J11" s="560">
        <v>72</v>
      </c>
      <c r="K11" s="560">
        <v>80</v>
      </c>
      <c r="L11" s="560">
        <v>124</v>
      </c>
      <c r="M11" s="560"/>
      <c r="N11" s="560"/>
      <c r="O11" s="560"/>
      <c r="P11" s="560"/>
      <c r="Q11" s="560"/>
      <c r="R11" s="560"/>
      <c r="S11" s="605"/>
      <c r="T11" s="592">
        <v>1100</v>
      </c>
      <c r="U11" s="606">
        <v>429</v>
      </c>
      <c r="V11" s="592">
        <f>SUM(X11:AI11)</f>
        <v>355</v>
      </c>
      <c r="W11" s="592">
        <f t="shared" si="4"/>
        <v>32.272727272727273</v>
      </c>
      <c r="X11" s="560">
        <v>23</v>
      </c>
      <c r="Y11" s="560">
        <v>33</v>
      </c>
      <c r="Z11" s="560">
        <v>35</v>
      </c>
      <c r="AA11" s="560">
        <v>66</v>
      </c>
      <c r="AB11" s="560">
        <v>78</v>
      </c>
      <c r="AC11" s="560">
        <v>120</v>
      </c>
      <c r="AD11" s="560"/>
      <c r="AE11" s="560"/>
      <c r="AF11" s="560"/>
      <c r="AG11" s="560"/>
      <c r="AH11" s="560"/>
      <c r="AI11" s="560"/>
      <c r="AJ11" s="605"/>
      <c r="AK11" s="592">
        <v>100</v>
      </c>
      <c r="AL11" s="606">
        <v>43</v>
      </c>
      <c r="AM11" s="592">
        <f>SUM(AO11:AZ11)</f>
        <v>14</v>
      </c>
      <c r="AN11" s="592">
        <f t="shared" si="5"/>
        <v>14</v>
      </c>
      <c r="AO11" s="560">
        <v>1</v>
      </c>
      <c r="AP11" s="560">
        <v>1</v>
      </c>
      <c r="AQ11" s="560">
        <v>4</v>
      </c>
      <c r="AR11" s="560">
        <v>5</v>
      </c>
      <c r="AS11" s="560">
        <v>1</v>
      </c>
      <c r="AT11" s="560">
        <v>2</v>
      </c>
      <c r="AU11" s="560"/>
      <c r="AV11" s="560"/>
      <c r="AW11" s="560"/>
      <c r="AX11" s="560"/>
      <c r="AY11" s="560"/>
      <c r="AZ11" s="560"/>
    </row>
    <row r="12" spans="1:52" ht="26.25" customHeight="1" x14ac:dyDescent="0.25">
      <c r="A12" s="592">
        <v>4</v>
      </c>
      <c r="B12" s="593" t="s">
        <v>317</v>
      </c>
      <c r="C12" s="592">
        <v>3600</v>
      </c>
      <c r="D12" s="604">
        <v>1597</v>
      </c>
      <c r="E12" s="592">
        <f>SUM(G12:R12)</f>
        <v>1134</v>
      </c>
      <c r="F12" s="592">
        <f t="shared" si="3"/>
        <v>31.5</v>
      </c>
      <c r="G12" s="560">
        <v>182</v>
      </c>
      <c r="H12" s="560">
        <v>137</v>
      </c>
      <c r="I12" s="560">
        <v>163</v>
      </c>
      <c r="J12" s="560">
        <v>185</v>
      </c>
      <c r="K12" s="560">
        <v>220</v>
      </c>
      <c r="L12" s="560">
        <v>247</v>
      </c>
      <c r="M12" s="560"/>
      <c r="N12" s="560"/>
      <c r="O12" s="560"/>
      <c r="P12" s="560"/>
      <c r="Q12" s="560"/>
      <c r="R12" s="560"/>
      <c r="S12" s="605"/>
      <c r="T12" s="592"/>
      <c r="U12" s="606"/>
      <c r="V12" s="592">
        <f>SUM(X12:AI12)</f>
        <v>0</v>
      </c>
      <c r="W12" s="592" t="e">
        <f t="shared" si="4"/>
        <v>#DIV/0!</v>
      </c>
      <c r="X12" s="560"/>
      <c r="Y12" s="560"/>
      <c r="Z12" s="560">
        <f>Y12</f>
        <v>0</v>
      </c>
      <c r="AA12" s="560"/>
      <c r="AB12" s="560"/>
      <c r="AC12" s="560"/>
      <c r="AD12" s="560"/>
      <c r="AE12" s="560"/>
      <c r="AF12" s="560"/>
      <c r="AG12" s="560"/>
      <c r="AH12" s="560"/>
      <c r="AI12" s="560"/>
      <c r="AJ12" s="605"/>
      <c r="AK12" s="592">
        <v>3500</v>
      </c>
      <c r="AL12" s="606">
        <v>1513</v>
      </c>
      <c r="AM12" s="592">
        <f>SUM(AO12:AZ12)</f>
        <v>1104</v>
      </c>
      <c r="AN12" s="592">
        <f t="shared" si="5"/>
        <v>31.542857142857144</v>
      </c>
      <c r="AO12" s="560">
        <v>178</v>
      </c>
      <c r="AP12" s="560">
        <v>135</v>
      </c>
      <c r="AQ12" s="560">
        <v>159</v>
      </c>
      <c r="AR12" s="560">
        <v>179</v>
      </c>
      <c r="AS12" s="560">
        <v>216</v>
      </c>
      <c r="AT12" s="560">
        <v>237</v>
      </c>
      <c r="AU12" s="560"/>
      <c r="AV12" s="560"/>
      <c r="AW12" s="560"/>
      <c r="AX12" s="560"/>
      <c r="AY12" s="560"/>
      <c r="AZ12" s="560"/>
    </row>
    <row r="13" spans="1:52" s="544" customFormat="1" ht="26.25" customHeight="1" x14ac:dyDescent="0.2">
      <c r="A13" s="574" t="s">
        <v>101</v>
      </c>
      <c r="B13" s="575" t="s">
        <v>318</v>
      </c>
      <c r="C13" s="574">
        <f>SUM(C14:C21)</f>
        <v>467300</v>
      </c>
      <c r="D13" s="574">
        <f t="shared" ref="D13:AZ13" si="7">SUM(D14:D21)</f>
        <v>219917</v>
      </c>
      <c r="E13" s="574">
        <f t="shared" si="7"/>
        <v>136908</v>
      </c>
      <c r="F13" s="574">
        <f t="shared" si="3"/>
        <v>29.29766745131607</v>
      </c>
      <c r="G13" s="574">
        <f t="shared" si="7"/>
        <v>21192</v>
      </c>
      <c r="H13" s="574">
        <f t="shared" si="7"/>
        <v>17054</v>
      </c>
      <c r="I13" s="574">
        <f t="shared" si="7"/>
        <v>24319</v>
      </c>
      <c r="J13" s="574">
        <f t="shared" si="7"/>
        <v>22499</v>
      </c>
      <c r="K13" s="574">
        <f t="shared" si="7"/>
        <v>25010</v>
      </c>
      <c r="L13" s="574">
        <f t="shared" si="7"/>
        <v>26834</v>
      </c>
      <c r="M13" s="574">
        <f t="shared" si="7"/>
        <v>0</v>
      </c>
      <c r="N13" s="574">
        <f t="shared" si="7"/>
        <v>0</v>
      </c>
      <c r="O13" s="574">
        <f t="shared" si="7"/>
        <v>0</v>
      </c>
      <c r="P13" s="574">
        <f t="shared" si="7"/>
        <v>0</v>
      </c>
      <c r="Q13" s="574">
        <f t="shared" si="7"/>
        <v>0</v>
      </c>
      <c r="R13" s="574">
        <f t="shared" si="7"/>
        <v>0</v>
      </c>
      <c r="S13" s="574">
        <f t="shared" si="7"/>
        <v>0</v>
      </c>
      <c r="T13" s="574">
        <f t="shared" si="7"/>
        <v>31600</v>
      </c>
      <c r="U13" s="574">
        <f t="shared" si="7"/>
        <v>13178</v>
      </c>
      <c r="V13" s="574">
        <f t="shared" si="7"/>
        <v>7091</v>
      </c>
      <c r="W13" s="574">
        <f t="shared" si="4"/>
        <v>22.439873417721518</v>
      </c>
      <c r="X13" s="574">
        <f t="shared" si="7"/>
        <v>1146</v>
      </c>
      <c r="Y13" s="574">
        <f t="shared" si="7"/>
        <v>1045</v>
      </c>
      <c r="Z13" s="574">
        <f t="shared" si="7"/>
        <v>1027</v>
      </c>
      <c r="AA13" s="574">
        <f t="shared" si="7"/>
        <v>1118</v>
      </c>
      <c r="AB13" s="574">
        <f t="shared" si="7"/>
        <v>1275</v>
      </c>
      <c r="AC13" s="574">
        <f t="shared" si="7"/>
        <v>1480</v>
      </c>
      <c r="AD13" s="574">
        <f t="shared" si="7"/>
        <v>0</v>
      </c>
      <c r="AE13" s="574">
        <f t="shared" si="7"/>
        <v>0</v>
      </c>
      <c r="AF13" s="574">
        <f t="shared" si="7"/>
        <v>0</v>
      </c>
      <c r="AG13" s="574">
        <f t="shared" si="7"/>
        <v>0</v>
      </c>
      <c r="AH13" s="574">
        <f t="shared" si="7"/>
        <v>0</v>
      </c>
      <c r="AI13" s="574">
        <f t="shared" si="7"/>
        <v>0</v>
      </c>
      <c r="AJ13" s="574">
        <f t="shared" si="7"/>
        <v>0</v>
      </c>
      <c r="AK13" s="574">
        <f t="shared" si="7"/>
        <v>323200</v>
      </c>
      <c r="AL13" s="574">
        <f t="shared" si="7"/>
        <v>146057</v>
      </c>
      <c r="AM13" s="574">
        <f t="shared" si="7"/>
        <v>83957</v>
      </c>
      <c r="AN13" s="574">
        <f t="shared" si="5"/>
        <v>25.976794554455445</v>
      </c>
      <c r="AO13" s="574">
        <f t="shared" si="7"/>
        <v>14458</v>
      </c>
      <c r="AP13" s="574">
        <f t="shared" si="7"/>
        <v>11380</v>
      </c>
      <c r="AQ13" s="574">
        <f t="shared" si="7"/>
        <v>16810</v>
      </c>
      <c r="AR13" s="574">
        <f t="shared" si="7"/>
        <v>14029</v>
      </c>
      <c r="AS13" s="574">
        <f t="shared" si="7"/>
        <v>13666</v>
      </c>
      <c r="AT13" s="574">
        <f t="shared" si="7"/>
        <v>13614</v>
      </c>
      <c r="AU13" s="574">
        <f t="shared" si="7"/>
        <v>0</v>
      </c>
      <c r="AV13" s="574">
        <f t="shared" si="7"/>
        <v>0</v>
      </c>
      <c r="AW13" s="574">
        <f t="shared" si="7"/>
        <v>0</v>
      </c>
      <c r="AX13" s="574">
        <f t="shared" si="7"/>
        <v>0</v>
      </c>
      <c r="AY13" s="574">
        <f t="shared" si="7"/>
        <v>0</v>
      </c>
      <c r="AZ13" s="574">
        <f t="shared" si="7"/>
        <v>0</v>
      </c>
    </row>
    <row r="14" spans="1:52" ht="26.25" customHeight="1" x14ac:dyDescent="0.25">
      <c r="A14" s="592">
        <v>1</v>
      </c>
      <c r="B14" s="593" t="s">
        <v>319</v>
      </c>
      <c r="C14" s="592">
        <v>50000</v>
      </c>
      <c r="D14" s="604">
        <v>23117</v>
      </c>
      <c r="E14" s="592">
        <f>SUM(G14:R14)</f>
        <v>16161</v>
      </c>
      <c r="F14" s="592">
        <f t="shared" si="3"/>
        <v>32.322000000000003</v>
      </c>
      <c r="G14" s="560">
        <v>2394</v>
      </c>
      <c r="H14" s="560">
        <v>2018</v>
      </c>
      <c r="I14" s="560">
        <v>3721</v>
      </c>
      <c r="J14" s="560">
        <v>2540</v>
      </c>
      <c r="K14" s="560">
        <v>2883</v>
      </c>
      <c r="L14" s="560">
        <v>2605</v>
      </c>
      <c r="M14" s="560"/>
      <c r="N14" s="560"/>
      <c r="O14" s="560"/>
      <c r="P14" s="560"/>
      <c r="Q14" s="560"/>
      <c r="R14" s="560"/>
      <c r="S14" s="605"/>
      <c r="T14" s="592">
        <v>4000</v>
      </c>
      <c r="U14" s="606">
        <v>1661</v>
      </c>
      <c r="V14" s="592">
        <f>SUM(X14:AI14)</f>
        <v>986</v>
      </c>
      <c r="W14" s="592">
        <f t="shared" si="4"/>
        <v>24.65</v>
      </c>
      <c r="X14" s="560">
        <v>134</v>
      </c>
      <c r="Y14" s="560">
        <v>153</v>
      </c>
      <c r="Z14" s="560">
        <v>136</v>
      </c>
      <c r="AA14" s="560">
        <v>167</v>
      </c>
      <c r="AB14" s="560">
        <v>165</v>
      </c>
      <c r="AC14" s="560">
        <v>231</v>
      </c>
      <c r="AD14" s="560"/>
      <c r="AE14" s="560"/>
      <c r="AF14" s="560"/>
      <c r="AG14" s="560"/>
      <c r="AH14" s="560"/>
      <c r="AI14" s="560"/>
      <c r="AJ14" s="605"/>
      <c r="AK14" s="592">
        <v>45000</v>
      </c>
      <c r="AL14" s="606">
        <v>21056</v>
      </c>
      <c r="AM14" s="592">
        <f>SUM(AO14:AZ14)</f>
        <v>14904</v>
      </c>
      <c r="AN14" s="592">
        <f t="shared" si="5"/>
        <v>33.119999999999997</v>
      </c>
      <c r="AO14" s="560">
        <v>2228</v>
      </c>
      <c r="AP14" s="560">
        <v>1823</v>
      </c>
      <c r="AQ14" s="560">
        <v>3531</v>
      </c>
      <c r="AR14" s="560">
        <v>2344</v>
      </c>
      <c r="AS14" s="560">
        <v>2636</v>
      </c>
      <c r="AT14" s="560">
        <v>2342</v>
      </c>
      <c r="AU14" s="560"/>
      <c r="AV14" s="560"/>
      <c r="AW14" s="560"/>
      <c r="AX14" s="560"/>
      <c r="AY14" s="560"/>
      <c r="AZ14" s="560"/>
    </row>
    <row r="15" spans="1:52" ht="26.25" customHeight="1" x14ac:dyDescent="0.25">
      <c r="A15" s="592">
        <v>2</v>
      </c>
      <c r="B15" s="593" t="s">
        <v>320</v>
      </c>
      <c r="C15" s="592">
        <v>74000</v>
      </c>
      <c r="D15" s="604">
        <v>36745</v>
      </c>
      <c r="E15" s="592">
        <f>SUM(G15:R15)</f>
        <v>30871</v>
      </c>
      <c r="F15" s="592">
        <f>E15/C15*100</f>
        <v>41.717567567567563</v>
      </c>
      <c r="G15" s="560">
        <v>5956</v>
      </c>
      <c r="H15" s="560">
        <v>4381</v>
      </c>
      <c r="I15" s="560">
        <v>6510</v>
      </c>
      <c r="J15" s="560">
        <v>5352</v>
      </c>
      <c r="K15" s="560">
        <v>4547</v>
      </c>
      <c r="L15" s="560">
        <v>4125</v>
      </c>
      <c r="M15" s="560"/>
      <c r="N15" s="560"/>
      <c r="O15" s="560"/>
      <c r="P15" s="560"/>
      <c r="Q15" s="560"/>
      <c r="R15" s="560"/>
      <c r="S15" s="605"/>
      <c r="T15" s="592">
        <v>4800</v>
      </c>
      <c r="U15" s="606">
        <v>2146</v>
      </c>
      <c r="V15" s="592">
        <f>SUM(X15:AI15)</f>
        <v>2239</v>
      </c>
      <c r="W15" s="592">
        <f>V15/T15*100</f>
        <v>46.645833333333329</v>
      </c>
      <c r="X15" s="560">
        <v>435</v>
      </c>
      <c r="Y15" s="560">
        <v>339</v>
      </c>
      <c r="Z15" s="560">
        <v>415</v>
      </c>
      <c r="AA15" s="560">
        <v>355</v>
      </c>
      <c r="AB15" s="560">
        <v>355</v>
      </c>
      <c r="AC15" s="560">
        <v>340</v>
      </c>
      <c r="AD15" s="560"/>
      <c r="AE15" s="560"/>
      <c r="AF15" s="560"/>
      <c r="AG15" s="560"/>
      <c r="AH15" s="560"/>
      <c r="AI15" s="560"/>
      <c r="AJ15" s="605"/>
      <c r="AK15" s="592">
        <v>64000</v>
      </c>
      <c r="AL15" s="606">
        <v>32344</v>
      </c>
      <c r="AM15" s="592">
        <f>SUM(AO15:AZ15)</f>
        <v>27105</v>
      </c>
      <c r="AN15" s="592">
        <f>AM15/AK15*100</f>
        <v>42.3515625</v>
      </c>
      <c r="AO15" s="560">
        <v>5220</v>
      </c>
      <c r="AP15" s="560">
        <v>3866</v>
      </c>
      <c r="AQ15" s="560">
        <v>5720</v>
      </c>
      <c r="AR15" s="560">
        <v>4741</v>
      </c>
      <c r="AS15" s="560">
        <v>3977</v>
      </c>
      <c r="AT15" s="560">
        <v>3581</v>
      </c>
      <c r="AU15" s="560"/>
      <c r="AV15" s="560"/>
      <c r="AW15" s="560"/>
      <c r="AX15" s="560"/>
      <c r="AY15" s="560"/>
      <c r="AZ15" s="560"/>
    </row>
    <row r="16" spans="1:52" ht="26.25" customHeight="1" x14ac:dyDescent="0.25">
      <c r="A16" s="592">
        <v>3</v>
      </c>
      <c r="B16" s="593" t="s">
        <v>321</v>
      </c>
      <c r="C16" s="592">
        <v>90000</v>
      </c>
      <c r="D16" s="604">
        <v>50330</v>
      </c>
      <c r="E16" s="592">
        <f t="shared" ref="E16:E21" si="8">SUM(G16:R16)</f>
        <v>34075</v>
      </c>
      <c r="F16" s="592">
        <f t="shared" si="3"/>
        <v>37.861111111111114</v>
      </c>
      <c r="G16" s="560">
        <v>4865</v>
      </c>
      <c r="H16" s="560">
        <v>4110</v>
      </c>
      <c r="I16" s="560">
        <v>4895</v>
      </c>
      <c r="J16" s="560">
        <v>5583</v>
      </c>
      <c r="K16" s="560">
        <v>6788</v>
      </c>
      <c r="L16" s="560">
        <v>7834</v>
      </c>
      <c r="M16" s="560"/>
      <c r="N16" s="560"/>
      <c r="O16" s="560"/>
      <c r="P16" s="560"/>
      <c r="Q16" s="560"/>
      <c r="R16" s="560"/>
      <c r="S16" s="605"/>
      <c r="T16" s="592">
        <v>3900</v>
      </c>
      <c r="U16" s="606">
        <v>1902</v>
      </c>
      <c r="V16" s="592">
        <f t="shared" ref="V16:V21" si="9">SUM(X16:AI16)</f>
        <v>815</v>
      </c>
      <c r="W16" s="592">
        <f t="shared" si="4"/>
        <v>20.897435897435898</v>
      </c>
      <c r="X16" s="560">
        <v>133</v>
      </c>
      <c r="Y16" s="560">
        <v>118</v>
      </c>
      <c r="Z16" s="560">
        <v>105</v>
      </c>
      <c r="AA16" s="560">
        <v>123</v>
      </c>
      <c r="AB16" s="560">
        <v>140</v>
      </c>
      <c r="AC16" s="560">
        <v>196</v>
      </c>
      <c r="AD16" s="560"/>
      <c r="AE16" s="560"/>
      <c r="AF16" s="560"/>
      <c r="AG16" s="560"/>
      <c r="AH16" s="560"/>
      <c r="AI16" s="560"/>
      <c r="AJ16" s="605"/>
      <c r="AK16" s="592">
        <v>40000</v>
      </c>
      <c r="AL16" s="606">
        <v>18296</v>
      </c>
      <c r="AM16" s="592">
        <f t="shared" ref="AM16:AM21" si="10">SUM(AO16:AZ16)</f>
        <v>10170</v>
      </c>
      <c r="AN16" s="592">
        <f t="shared" si="5"/>
        <v>25.425000000000001</v>
      </c>
      <c r="AO16" s="560">
        <v>1912</v>
      </c>
      <c r="AP16" s="560">
        <v>1405</v>
      </c>
      <c r="AQ16" s="560">
        <v>1957</v>
      </c>
      <c r="AR16" s="560">
        <v>1499</v>
      </c>
      <c r="AS16" s="560">
        <v>1747</v>
      </c>
      <c r="AT16" s="560">
        <v>1650</v>
      </c>
      <c r="AU16" s="560"/>
      <c r="AV16" s="560"/>
      <c r="AW16" s="560"/>
      <c r="AX16" s="560"/>
      <c r="AY16" s="560"/>
      <c r="AZ16" s="560"/>
    </row>
    <row r="17" spans="1:52" ht="26.25" customHeight="1" x14ac:dyDescent="0.25">
      <c r="A17" s="592">
        <v>4</v>
      </c>
      <c r="B17" s="593" t="s">
        <v>322</v>
      </c>
      <c r="C17" s="592">
        <v>89000</v>
      </c>
      <c r="D17" s="604">
        <v>43546</v>
      </c>
      <c r="E17" s="592">
        <f t="shared" si="8"/>
        <v>34810</v>
      </c>
      <c r="F17" s="592">
        <f t="shared" si="3"/>
        <v>39.112359550561798</v>
      </c>
      <c r="G17" s="560">
        <v>4826</v>
      </c>
      <c r="H17" s="560">
        <v>3768</v>
      </c>
      <c r="I17" s="560">
        <v>5992</v>
      </c>
      <c r="J17" s="560">
        <v>5404</v>
      </c>
      <c r="K17" s="560">
        <v>7217</v>
      </c>
      <c r="L17" s="560">
        <v>7603</v>
      </c>
      <c r="M17" s="560"/>
      <c r="N17" s="560"/>
      <c r="O17" s="560"/>
      <c r="P17" s="560"/>
      <c r="Q17" s="560"/>
      <c r="R17" s="560"/>
      <c r="S17" s="605"/>
      <c r="T17" s="592">
        <v>3800</v>
      </c>
      <c r="U17" s="606">
        <v>1603</v>
      </c>
      <c r="V17" s="592">
        <f t="shared" si="9"/>
        <v>1013</v>
      </c>
      <c r="W17" s="592">
        <f t="shared" si="4"/>
        <v>26.657894736842106</v>
      </c>
      <c r="X17" s="560">
        <v>196</v>
      </c>
      <c r="Y17" s="560">
        <v>121</v>
      </c>
      <c r="Z17" s="560">
        <v>106</v>
      </c>
      <c r="AA17" s="560">
        <v>143</v>
      </c>
      <c r="AB17" s="560">
        <v>204</v>
      </c>
      <c r="AC17" s="560">
        <v>243</v>
      </c>
      <c r="AD17" s="560"/>
      <c r="AE17" s="560"/>
      <c r="AF17" s="560"/>
      <c r="AG17" s="560"/>
      <c r="AH17" s="560"/>
      <c r="AI17" s="560"/>
      <c r="AJ17" s="605"/>
      <c r="AK17" s="592">
        <v>43000</v>
      </c>
      <c r="AL17" s="606">
        <v>18569</v>
      </c>
      <c r="AM17" s="592">
        <f t="shared" si="10"/>
        <v>14621</v>
      </c>
      <c r="AN17" s="592">
        <f t="shared" si="5"/>
        <v>34.002325581395347</v>
      </c>
      <c r="AO17" s="560">
        <v>2265</v>
      </c>
      <c r="AP17" s="560">
        <v>1887</v>
      </c>
      <c r="AQ17" s="560">
        <v>3146</v>
      </c>
      <c r="AR17" s="560">
        <v>2192</v>
      </c>
      <c r="AS17" s="560">
        <v>2558</v>
      </c>
      <c r="AT17" s="560">
        <v>2573</v>
      </c>
      <c r="AU17" s="560"/>
      <c r="AV17" s="560"/>
      <c r="AW17" s="560"/>
      <c r="AX17" s="560"/>
      <c r="AY17" s="560"/>
      <c r="AZ17" s="560"/>
    </row>
    <row r="18" spans="1:52" ht="26.25" customHeight="1" x14ac:dyDescent="0.25">
      <c r="A18" s="592">
        <v>5</v>
      </c>
      <c r="B18" s="593" t="s">
        <v>323</v>
      </c>
      <c r="C18" s="592">
        <v>75000</v>
      </c>
      <c r="D18" s="604">
        <v>28858</v>
      </c>
      <c r="E18" s="592">
        <f t="shared" si="8"/>
        <v>8305</v>
      </c>
      <c r="F18" s="592">
        <f t="shared" si="3"/>
        <v>11.073333333333334</v>
      </c>
      <c r="G18" s="560">
        <v>1119</v>
      </c>
      <c r="H18" s="560">
        <v>1111</v>
      </c>
      <c r="I18" s="560">
        <v>1452</v>
      </c>
      <c r="J18" s="560">
        <v>1438</v>
      </c>
      <c r="K18" s="560">
        <v>1277</v>
      </c>
      <c r="L18" s="560">
        <v>1908</v>
      </c>
      <c r="M18" s="560"/>
      <c r="N18" s="560"/>
      <c r="O18" s="560"/>
      <c r="P18" s="560"/>
      <c r="Q18" s="560"/>
      <c r="R18" s="560"/>
      <c r="S18" s="605"/>
      <c r="T18" s="592">
        <v>8000</v>
      </c>
      <c r="U18" s="606">
        <v>2996</v>
      </c>
      <c r="V18" s="592">
        <f t="shared" si="9"/>
        <v>1334</v>
      </c>
      <c r="W18" s="592">
        <f t="shared" si="4"/>
        <v>16.675000000000001</v>
      </c>
      <c r="X18" s="560">
        <v>161</v>
      </c>
      <c r="Y18" s="560">
        <v>135</v>
      </c>
      <c r="Z18" s="560">
        <v>165</v>
      </c>
      <c r="AA18" s="560">
        <v>249</v>
      </c>
      <c r="AB18" s="560">
        <v>296</v>
      </c>
      <c r="AC18" s="560">
        <v>328</v>
      </c>
      <c r="AD18" s="560"/>
      <c r="AE18" s="560"/>
      <c r="AF18" s="560"/>
      <c r="AG18" s="560"/>
      <c r="AH18" s="560"/>
      <c r="AI18" s="560"/>
      <c r="AJ18" s="605"/>
      <c r="AK18" s="592">
        <v>60000</v>
      </c>
      <c r="AL18" s="606">
        <v>25031</v>
      </c>
      <c r="AM18" s="592">
        <f t="shared" si="10"/>
        <v>6077</v>
      </c>
      <c r="AN18" s="592">
        <f t="shared" si="5"/>
        <v>10.128333333333334</v>
      </c>
      <c r="AO18" s="560">
        <v>947</v>
      </c>
      <c r="AP18" s="560">
        <v>964</v>
      </c>
      <c r="AQ18" s="560">
        <v>828</v>
      </c>
      <c r="AR18" s="560">
        <v>1196</v>
      </c>
      <c r="AS18" s="560">
        <v>654</v>
      </c>
      <c r="AT18" s="560">
        <v>1488</v>
      </c>
      <c r="AU18" s="560"/>
      <c r="AV18" s="560"/>
      <c r="AW18" s="560"/>
      <c r="AX18" s="560"/>
      <c r="AY18" s="560"/>
      <c r="AZ18" s="560"/>
    </row>
    <row r="19" spans="1:52" ht="26.25" customHeight="1" x14ac:dyDescent="0.25">
      <c r="A19" s="592">
        <v>6</v>
      </c>
      <c r="B19" s="593" t="s">
        <v>324</v>
      </c>
      <c r="C19" s="592">
        <v>59000</v>
      </c>
      <c r="D19" s="604">
        <v>23990</v>
      </c>
      <c r="E19" s="592">
        <f t="shared" si="8"/>
        <v>3620</v>
      </c>
      <c r="F19" s="592">
        <f t="shared" si="3"/>
        <v>6.1355932203389827</v>
      </c>
      <c r="G19" s="560">
        <v>427</v>
      </c>
      <c r="H19" s="560">
        <v>382</v>
      </c>
      <c r="I19" s="560">
        <v>472</v>
      </c>
      <c r="J19" s="560">
        <v>545</v>
      </c>
      <c r="K19" s="560">
        <v>610</v>
      </c>
      <c r="L19" s="560">
        <v>1184</v>
      </c>
      <c r="M19" s="560"/>
      <c r="N19" s="560"/>
      <c r="O19" s="560"/>
      <c r="P19" s="560"/>
      <c r="Q19" s="560"/>
      <c r="R19" s="560"/>
      <c r="S19" s="605"/>
      <c r="T19" s="592">
        <v>4800</v>
      </c>
      <c r="U19" s="606">
        <v>2117</v>
      </c>
      <c r="V19" s="592">
        <f t="shared" si="9"/>
        <v>315</v>
      </c>
      <c r="W19" s="592">
        <f t="shared" si="4"/>
        <v>6.5625</v>
      </c>
      <c r="X19" s="560">
        <v>38</v>
      </c>
      <c r="Y19" s="560">
        <v>46</v>
      </c>
      <c r="Z19" s="560">
        <v>44</v>
      </c>
      <c r="AA19" s="560">
        <v>53</v>
      </c>
      <c r="AB19" s="560">
        <v>70</v>
      </c>
      <c r="AC19" s="560">
        <v>64</v>
      </c>
      <c r="AD19" s="560"/>
      <c r="AE19" s="560"/>
      <c r="AF19" s="560"/>
      <c r="AG19" s="560"/>
      <c r="AH19" s="560"/>
      <c r="AI19" s="560"/>
      <c r="AJ19" s="605"/>
      <c r="AK19" s="592">
        <v>45000</v>
      </c>
      <c r="AL19" s="606">
        <v>17205</v>
      </c>
      <c r="AM19" s="592">
        <f t="shared" si="10"/>
        <v>2690</v>
      </c>
      <c r="AN19" s="592">
        <f t="shared" si="5"/>
        <v>5.9777777777777779</v>
      </c>
      <c r="AO19" s="560">
        <v>379</v>
      </c>
      <c r="AP19" s="560">
        <v>330</v>
      </c>
      <c r="AQ19" s="560">
        <v>426</v>
      </c>
      <c r="AR19" s="560">
        <v>482</v>
      </c>
      <c r="AS19" s="560">
        <v>509</v>
      </c>
      <c r="AT19" s="560">
        <v>564</v>
      </c>
      <c r="AU19" s="560"/>
      <c r="AV19" s="560"/>
      <c r="AW19" s="560"/>
      <c r="AX19" s="560"/>
      <c r="AY19" s="560"/>
      <c r="AZ19" s="560"/>
    </row>
    <row r="20" spans="1:52" ht="26.25" customHeight="1" x14ac:dyDescent="0.25">
      <c r="A20" s="592">
        <v>7</v>
      </c>
      <c r="B20" s="593" t="s">
        <v>325</v>
      </c>
      <c r="C20" s="592">
        <v>2300</v>
      </c>
      <c r="D20" s="604">
        <v>538</v>
      </c>
      <c r="E20" s="592">
        <f t="shared" si="8"/>
        <v>544</v>
      </c>
      <c r="F20" s="592">
        <f t="shared" si="3"/>
        <v>23.652173913043477</v>
      </c>
      <c r="G20" s="560">
        <v>81</v>
      </c>
      <c r="H20" s="560">
        <v>75</v>
      </c>
      <c r="I20" s="560">
        <v>90</v>
      </c>
      <c r="J20" s="560">
        <v>81</v>
      </c>
      <c r="K20" s="560">
        <v>87</v>
      </c>
      <c r="L20" s="560">
        <v>130</v>
      </c>
      <c r="M20" s="560"/>
      <c r="N20" s="560"/>
      <c r="O20" s="560"/>
      <c r="P20" s="560"/>
      <c r="Q20" s="560"/>
      <c r="R20" s="560"/>
      <c r="S20" s="605"/>
      <c r="T20" s="592">
        <v>500</v>
      </c>
      <c r="U20" s="606"/>
      <c r="V20" s="592">
        <f t="shared" si="9"/>
        <v>30</v>
      </c>
      <c r="W20" s="592">
        <f t="shared" si="4"/>
        <v>6</v>
      </c>
      <c r="X20" s="560">
        <v>0</v>
      </c>
      <c r="Y20" s="560">
        <v>0</v>
      </c>
      <c r="Z20" s="560">
        <v>8</v>
      </c>
      <c r="AA20" s="560">
        <v>4</v>
      </c>
      <c r="AB20" s="560">
        <v>0</v>
      </c>
      <c r="AC20" s="560">
        <v>18</v>
      </c>
      <c r="AD20" s="560"/>
      <c r="AE20" s="560"/>
      <c r="AF20" s="560"/>
      <c r="AG20" s="560"/>
      <c r="AH20" s="560"/>
      <c r="AI20" s="560"/>
      <c r="AJ20" s="605"/>
      <c r="AK20" s="592">
        <v>1200</v>
      </c>
      <c r="AL20" s="606">
        <v>217</v>
      </c>
      <c r="AM20" s="592">
        <f t="shared" si="10"/>
        <v>228</v>
      </c>
      <c r="AN20" s="592">
        <f t="shared" si="5"/>
        <v>19</v>
      </c>
      <c r="AO20" s="560">
        <v>32</v>
      </c>
      <c r="AP20" s="560">
        <v>29</v>
      </c>
      <c r="AQ20" s="560">
        <v>63</v>
      </c>
      <c r="AR20" s="560">
        <v>43</v>
      </c>
      <c r="AS20" s="560">
        <v>29</v>
      </c>
      <c r="AT20" s="560">
        <v>32</v>
      </c>
      <c r="AU20" s="560"/>
      <c r="AV20" s="560"/>
      <c r="AW20" s="560"/>
      <c r="AX20" s="560"/>
      <c r="AY20" s="560"/>
      <c r="AZ20" s="560"/>
    </row>
    <row r="21" spans="1:52" ht="26.25" customHeight="1" x14ac:dyDescent="0.25">
      <c r="A21" s="592">
        <v>8</v>
      </c>
      <c r="B21" s="593" t="s">
        <v>326</v>
      </c>
      <c r="C21" s="592">
        <v>28000</v>
      </c>
      <c r="D21" s="604">
        <v>12793</v>
      </c>
      <c r="E21" s="592">
        <f t="shared" si="8"/>
        <v>8522</v>
      </c>
      <c r="F21" s="592">
        <f t="shared" si="3"/>
        <v>30.435714285714287</v>
      </c>
      <c r="G21" s="560">
        <v>1524</v>
      </c>
      <c r="H21" s="560">
        <v>1209</v>
      </c>
      <c r="I21" s="560">
        <v>1187</v>
      </c>
      <c r="J21" s="560">
        <v>1556</v>
      </c>
      <c r="K21" s="560">
        <v>1601</v>
      </c>
      <c r="L21" s="560">
        <v>1445</v>
      </c>
      <c r="M21" s="560"/>
      <c r="N21" s="560"/>
      <c r="O21" s="560"/>
      <c r="P21" s="560"/>
      <c r="Q21" s="560"/>
      <c r="R21" s="560"/>
      <c r="S21" s="605"/>
      <c r="T21" s="592">
        <v>1800</v>
      </c>
      <c r="U21" s="606">
        <v>753</v>
      </c>
      <c r="V21" s="592">
        <f t="shared" si="9"/>
        <v>359</v>
      </c>
      <c r="W21" s="592">
        <f t="shared" si="4"/>
        <v>19.944444444444443</v>
      </c>
      <c r="X21" s="560">
        <v>49</v>
      </c>
      <c r="Y21" s="560">
        <v>133</v>
      </c>
      <c r="Z21" s="560">
        <v>48</v>
      </c>
      <c r="AA21" s="560">
        <v>24</v>
      </c>
      <c r="AB21" s="560">
        <v>45</v>
      </c>
      <c r="AC21" s="560">
        <v>60</v>
      </c>
      <c r="AD21" s="560"/>
      <c r="AE21" s="560"/>
      <c r="AF21" s="560"/>
      <c r="AG21" s="560"/>
      <c r="AH21" s="560"/>
      <c r="AI21" s="560"/>
      <c r="AJ21" s="605"/>
      <c r="AK21" s="592">
        <v>25000</v>
      </c>
      <c r="AL21" s="606">
        <v>13339</v>
      </c>
      <c r="AM21" s="592">
        <f t="shared" si="10"/>
        <v>8162</v>
      </c>
      <c r="AN21" s="592">
        <f t="shared" si="5"/>
        <v>32.648000000000003</v>
      </c>
      <c r="AO21" s="560">
        <v>1475</v>
      </c>
      <c r="AP21" s="560">
        <v>1076</v>
      </c>
      <c r="AQ21" s="560">
        <v>1139</v>
      </c>
      <c r="AR21" s="560">
        <v>1532</v>
      </c>
      <c r="AS21" s="560">
        <v>1556</v>
      </c>
      <c r="AT21" s="560">
        <v>1384</v>
      </c>
      <c r="AU21" s="560"/>
      <c r="AV21" s="560"/>
      <c r="AW21" s="560"/>
      <c r="AX21" s="560"/>
      <c r="AY21" s="560"/>
      <c r="AZ21" s="560"/>
    </row>
    <row r="22" spans="1:52" x14ac:dyDescent="0.25">
      <c r="A22" s="553"/>
      <c r="B22" s="547"/>
      <c r="C22" s="553"/>
      <c r="D22" s="553"/>
      <c r="E22" s="553"/>
      <c r="F22" s="603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61"/>
      <c r="T22" s="553"/>
      <c r="U22" s="549"/>
      <c r="V22" s="553"/>
      <c r="W22" s="603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61"/>
      <c r="AK22" s="553"/>
      <c r="AL22" s="549"/>
      <c r="AM22" s="553"/>
      <c r="AN22" s="603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</row>
    <row r="23" spans="1:52" s="584" customFormat="1" x14ac:dyDescent="0.25">
      <c r="C23" s="569"/>
      <c r="D23" s="569"/>
      <c r="E23" s="569"/>
      <c r="F23" s="569"/>
      <c r="G23" s="569"/>
      <c r="H23" s="586"/>
      <c r="K23" s="586"/>
      <c r="L23" s="569"/>
      <c r="M23" s="586"/>
      <c r="P23" s="586"/>
      <c r="Q23" s="587"/>
      <c r="R23" s="586"/>
      <c r="U23" s="586"/>
      <c r="V23" s="588"/>
      <c r="W23" s="588"/>
      <c r="X23" s="588"/>
      <c r="Y23" s="588"/>
    </row>
    <row r="24" spans="1:52" s="584" customFormat="1" x14ac:dyDescent="0.25">
      <c r="C24" s="569"/>
      <c r="D24" s="569"/>
      <c r="E24" s="569"/>
      <c r="F24" s="569"/>
      <c r="G24" s="569"/>
      <c r="H24" s="586"/>
      <c r="K24" s="586"/>
      <c r="L24" s="569"/>
      <c r="M24" s="586"/>
      <c r="P24" s="586"/>
      <c r="Q24" s="587"/>
      <c r="R24" s="586"/>
      <c r="U24" s="586"/>
      <c r="V24" s="588"/>
      <c r="W24" s="588"/>
      <c r="X24" s="588"/>
      <c r="Y24" s="588"/>
    </row>
    <row r="25" spans="1:52" x14ac:dyDescent="0.25">
      <c r="C25" s="680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1"/>
      <c r="AH25" s="681"/>
      <c r="AI25" s="681"/>
      <c r="AJ25" s="681"/>
      <c r="AK25" s="681"/>
      <c r="AL25" s="681"/>
      <c r="AM25" s="681"/>
      <c r="AN25" s="681"/>
      <c r="AO25" s="562"/>
      <c r="AP25" s="558"/>
      <c r="AR25" s="559"/>
      <c r="AS25" s="559"/>
      <c r="AT25" s="559"/>
      <c r="AU25" s="559"/>
      <c r="AV25" s="559"/>
      <c r="AW25" s="559"/>
      <c r="AX25" s="559"/>
      <c r="AY25" s="559"/>
      <c r="AZ25" s="559"/>
    </row>
    <row r="26" spans="1:52" x14ac:dyDescent="0.25"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681"/>
      <c r="AL26" s="681"/>
      <c r="AM26" s="681"/>
      <c r="AN26" s="681"/>
      <c r="AO26" s="559"/>
      <c r="AP26" s="559"/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</row>
    <row r="27" spans="1:52" x14ac:dyDescent="0.25">
      <c r="C27" s="558"/>
      <c r="D27" s="558"/>
      <c r="F27" s="558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559"/>
      <c r="U27" s="558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63"/>
      <c r="AK27" s="562"/>
      <c r="AL27" s="558"/>
      <c r="AO27" s="559"/>
      <c r="AP27" s="559"/>
      <c r="AQ27" s="559"/>
      <c r="AR27" s="559"/>
      <c r="AS27" s="559"/>
      <c r="AT27" s="559"/>
      <c r="AU27" s="559"/>
      <c r="AV27" s="559"/>
      <c r="AW27" s="559"/>
      <c r="AX27" s="559"/>
      <c r="AY27" s="559"/>
      <c r="AZ27" s="559"/>
    </row>
    <row r="28" spans="1:52" x14ac:dyDescent="0.25">
      <c r="C28" s="558"/>
      <c r="D28" s="558"/>
      <c r="F28" s="558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559"/>
      <c r="U28" s="558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63"/>
      <c r="AK28" s="562"/>
      <c r="AL28" s="558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</row>
    <row r="29" spans="1:52" x14ac:dyDescent="0.25">
      <c r="C29" s="558"/>
      <c r="D29" s="558"/>
      <c r="E29" s="558"/>
      <c r="F29" s="558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564"/>
      <c r="AK29" s="565"/>
      <c r="AL29" s="565"/>
      <c r="AM29" s="565"/>
      <c r="AN29" s="565"/>
    </row>
    <row r="30" spans="1:52" x14ac:dyDescent="0.25">
      <c r="C30" s="566"/>
      <c r="D30" s="558"/>
      <c r="E30" s="558"/>
      <c r="F30" s="558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564"/>
      <c r="AK30" s="565"/>
      <c r="AL30" s="565"/>
      <c r="AM30" s="565"/>
      <c r="AN30" s="565"/>
    </row>
    <row r="31" spans="1:52" x14ac:dyDescent="0.25">
      <c r="C31" s="558"/>
      <c r="D31" s="558"/>
      <c r="F31" s="558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86"/>
      <c r="AF31" s="686"/>
      <c r="AG31" s="686"/>
      <c r="AH31" s="686"/>
      <c r="AI31" s="686"/>
    </row>
    <row r="32" spans="1:52" x14ac:dyDescent="0.25">
      <c r="C32" s="558"/>
      <c r="D32" s="558"/>
      <c r="F32" s="558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6"/>
      <c r="AG32" s="686"/>
      <c r="AH32" s="686"/>
      <c r="AI32" s="686"/>
    </row>
    <row r="33" spans="3:35" x14ac:dyDescent="0.25">
      <c r="C33" s="558"/>
      <c r="D33" s="558"/>
      <c r="F33" s="558"/>
      <c r="G33" s="686"/>
      <c r="H33" s="686"/>
      <c r="I33" s="686"/>
      <c r="J33" s="686"/>
      <c r="K33" s="686"/>
      <c r="L33" s="686"/>
      <c r="M33" s="686"/>
      <c r="N33" s="686"/>
      <c r="O33" s="686"/>
      <c r="P33" s="686"/>
      <c r="Q33" s="686"/>
      <c r="R33" s="686"/>
      <c r="S33" s="686"/>
      <c r="T33" s="686"/>
      <c r="U33" s="686"/>
      <c r="V33" s="686"/>
      <c r="W33" s="686"/>
      <c r="X33" s="686"/>
      <c r="Y33" s="686"/>
      <c r="Z33" s="686"/>
      <c r="AA33" s="686"/>
      <c r="AB33" s="686"/>
      <c r="AC33" s="686"/>
      <c r="AD33" s="686"/>
      <c r="AE33" s="686"/>
      <c r="AF33" s="686"/>
      <c r="AG33" s="686"/>
      <c r="AH33" s="686"/>
      <c r="AI33" s="686"/>
    </row>
    <row r="34" spans="3:35" x14ac:dyDescent="0.25">
      <c r="C34" s="558"/>
      <c r="D34" s="558"/>
      <c r="F34" s="558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686"/>
      <c r="Z34" s="686"/>
      <c r="AA34" s="686"/>
      <c r="AB34" s="686"/>
      <c r="AC34" s="686"/>
      <c r="AD34" s="686"/>
      <c r="AE34" s="686"/>
      <c r="AF34" s="686"/>
      <c r="AG34" s="686"/>
      <c r="AH34" s="686"/>
      <c r="AI34" s="686"/>
    </row>
    <row r="35" spans="3:35" x14ac:dyDescent="0.25">
      <c r="C35" s="568"/>
      <c r="D35" s="558"/>
      <c r="F35" s="558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686"/>
      <c r="Z35" s="686"/>
      <c r="AA35" s="686"/>
      <c r="AB35" s="686"/>
      <c r="AC35" s="686"/>
      <c r="AD35" s="686"/>
      <c r="AE35" s="686"/>
      <c r="AF35" s="686"/>
      <c r="AG35" s="686"/>
      <c r="AH35" s="686"/>
      <c r="AI35" s="686"/>
    </row>
    <row r="36" spans="3:35" x14ac:dyDescent="0.25">
      <c r="C36" s="568"/>
      <c r="D36" s="558"/>
      <c r="F36" s="558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686"/>
      <c r="AD36" s="686"/>
      <c r="AE36" s="686"/>
      <c r="AF36" s="686"/>
      <c r="AG36" s="686"/>
      <c r="AH36" s="686"/>
      <c r="AI36" s="686"/>
    </row>
    <row r="37" spans="3:35" x14ac:dyDescent="0.25">
      <c r="C37" s="565"/>
      <c r="D37" s="558"/>
      <c r="E37" s="565"/>
      <c r="F37" s="55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9"/>
      <c r="T37" s="688"/>
      <c r="U37" s="688"/>
      <c r="V37" s="688"/>
      <c r="W37" s="688"/>
      <c r="X37" s="688"/>
      <c r="Y37" s="688"/>
      <c r="Z37" s="688"/>
      <c r="AA37" s="688"/>
      <c r="AB37" s="688"/>
      <c r="AC37" s="688"/>
      <c r="AD37" s="688"/>
      <c r="AE37" s="688"/>
      <c r="AF37" s="688"/>
      <c r="AG37" s="688"/>
      <c r="AH37" s="688"/>
      <c r="AI37" s="688"/>
    </row>
    <row r="38" spans="3:35" x14ac:dyDescent="0.25">
      <c r="D38" s="558"/>
      <c r="F38" s="558"/>
    </row>
    <row r="39" spans="3:35" x14ac:dyDescent="0.25">
      <c r="D39" s="546"/>
      <c r="E39" s="546"/>
      <c r="F39" s="546"/>
    </row>
  </sheetData>
  <mergeCells count="46">
    <mergeCell ref="G35:S35"/>
    <mergeCell ref="T35:AI35"/>
    <mergeCell ref="G36:S36"/>
    <mergeCell ref="T36:AI36"/>
    <mergeCell ref="G37:S37"/>
    <mergeCell ref="T37:AI37"/>
    <mergeCell ref="G32:S32"/>
    <mergeCell ref="T32:AI32"/>
    <mergeCell ref="G33:S33"/>
    <mergeCell ref="T33:AI33"/>
    <mergeCell ref="G34:S34"/>
    <mergeCell ref="T34:AI34"/>
    <mergeCell ref="G29:S29"/>
    <mergeCell ref="T29:AI29"/>
    <mergeCell ref="G30:S30"/>
    <mergeCell ref="T30:AI30"/>
    <mergeCell ref="G31:S31"/>
    <mergeCell ref="T31:AI31"/>
    <mergeCell ref="G28:S28"/>
    <mergeCell ref="V5:V6"/>
    <mergeCell ref="W5:W6"/>
    <mergeCell ref="X5:AI5"/>
    <mergeCell ref="AJ5:AJ6"/>
    <mergeCell ref="G5:R5"/>
    <mergeCell ref="S5:S6"/>
    <mergeCell ref="T5:T6"/>
    <mergeCell ref="U5:U6"/>
    <mergeCell ref="C25:AN26"/>
    <mergeCell ref="G27:S27"/>
    <mergeCell ref="AK5:AK6"/>
    <mergeCell ref="AL5:AL6"/>
    <mergeCell ref="E5:E6"/>
    <mergeCell ref="F5:F6"/>
    <mergeCell ref="A1:AZ1"/>
    <mergeCell ref="A2:AZ2"/>
    <mergeCell ref="A3:A6"/>
    <mergeCell ref="B3:B6"/>
    <mergeCell ref="C3:AZ3"/>
    <mergeCell ref="C4:S4"/>
    <mergeCell ref="T4:AJ4"/>
    <mergeCell ref="AK4:AZ4"/>
    <mergeCell ref="C5:C6"/>
    <mergeCell ref="D5:D6"/>
    <mergeCell ref="AM5:AM6"/>
    <mergeCell ref="AN5:AN6"/>
    <mergeCell ref="AO5:AZ5"/>
  </mergeCells>
  <pageMargins left="0.51" right="0.2" top="0.4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workbookViewId="0">
      <selection activeCell="T34" sqref="T34"/>
    </sheetView>
  </sheetViews>
  <sheetFormatPr defaultRowHeight="15" x14ac:dyDescent="0.25"/>
  <cols>
    <col min="1" max="1" width="3.875" style="541" customWidth="1"/>
    <col min="2" max="2" width="18.125" style="541" customWidth="1"/>
    <col min="3" max="3" width="9.5" style="541" customWidth="1"/>
    <col min="4" max="4" width="9.125" style="541" customWidth="1"/>
    <col min="5" max="5" width="8.75" style="541" customWidth="1"/>
    <col min="6" max="6" width="9" style="541" customWidth="1"/>
    <col min="7" max="18" width="9.125" style="541" hidden="1" customWidth="1"/>
    <col min="19" max="19" width="7.375" style="567" hidden="1" customWidth="1"/>
    <col min="20" max="20" width="9.5" style="541" customWidth="1"/>
    <col min="21" max="21" width="8.375" style="541" customWidth="1"/>
    <col min="22" max="22" width="9.125" style="541" customWidth="1"/>
    <col min="23" max="23" width="8.5" style="541" customWidth="1"/>
    <col min="24" max="35" width="10.125" style="541" hidden="1" customWidth="1"/>
    <col min="36" max="36" width="7.375" style="567" hidden="1" customWidth="1"/>
    <col min="37" max="37" width="9.625" style="541" customWidth="1"/>
    <col min="38" max="38" width="10.125" style="541" customWidth="1"/>
    <col min="39" max="39" width="8.125" style="541" customWidth="1"/>
    <col min="40" max="40" width="7.75" style="541" customWidth="1"/>
    <col min="41" max="51" width="10.125" style="541" hidden="1" customWidth="1"/>
    <col min="52" max="52" width="10.375" style="541" hidden="1" customWidth="1"/>
    <col min="53" max="256" width="9" style="541"/>
    <col min="257" max="257" width="3.875" style="541" customWidth="1"/>
    <col min="258" max="258" width="16.5" style="541" customWidth="1"/>
    <col min="259" max="260" width="10.125" style="541" customWidth="1"/>
    <col min="261" max="262" width="9.375" style="541" customWidth="1"/>
    <col min="263" max="275" width="0" style="541" hidden="1" customWidth="1"/>
    <col min="276" max="276" width="8.375" style="541" bestFit="1" customWidth="1"/>
    <col min="277" max="277" width="10.125" style="541" customWidth="1"/>
    <col min="278" max="278" width="9.375" style="541" customWidth="1"/>
    <col min="279" max="279" width="10" style="541" customWidth="1"/>
    <col min="280" max="292" width="0" style="541" hidden="1" customWidth="1"/>
    <col min="293" max="293" width="9.375" style="541" bestFit="1" customWidth="1"/>
    <col min="294" max="294" width="10.125" style="541" customWidth="1"/>
    <col min="295" max="296" width="9.375" style="541" customWidth="1"/>
    <col min="297" max="308" width="0" style="541" hidden="1" customWidth="1"/>
    <col min="309" max="512" width="9" style="541"/>
    <col min="513" max="513" width="3.875" style="541" customWidth="1"/>
    <col min="514" max="514" width="16.5" style="541" customWidth="1"/>
    <col min="515" max="516" width="10.125" style="541" customWidth="1"/>
    <col min="517" max="518" width="9.375" style="541" customWidth="1"/>
    <col min="519" max="531" width="0" style="541" hidden="1" customWidth="1"/>
    <col min="532" max="532" width="8.375" style="541" bestFit="1" customWidth="1"/>
    <col min="533" max="533" width="10.125" style="541" customWidth="1"/>
    <col min="534" max="534" width="9.375" style="541" customWidth="1"/>
    <col min="535" max="535" width="10" style="541" customWidth="1"/>
    <col min="536" max="548" width="0" style="541" hidden="1" customWidth="1"/>
    <col min="549" max="549" width="9.375" style="541" bestFit="1" customWidth="1"/>
    <col min="550" max="550" width="10.125" style="541" customWidth="1"/>
    <col min="551" max="552" width="9.375" style="541" customWidth="1"/>
    <col min="553" max="564" width="0" style="541" hidden="1" customWidth="1"/>
    <col min="565" max="768" width="9" style="541"/>
    <col min="769" max="769" width="3.875" style="541" customWidth="1"/>
    <col min="770" max="770" width="16.5" style="541" customWidth="1"/>
    <col min="771" max="772" width="10.125" style="541" customWidth="1"/>
    <col min="773" max="774" width="9.375" style="541" customWidth="1"/>
    <col min="775" max="787" width="0" style="541" hidden="1" customWidth="1"/>
    <col min="788" max="788" width="8.375" style="541" bestFit="1" customWidth="1"/>
    <col min="789" max="789" width="10.125" style="541" customWidth="1"/>
    <col min="790" max="790" width="9.375" style="541" customWidth="1"/>
    <col min="791" max="791" width="10" style="541" customWidth="1"/>
    <col min="792" max="804" width="0" style="541" hidden="1" customWidth="1"/>
    <col min="805" max="805" width="9.375" style="541" bestFit="1" customWidth="1"/>
    <col min="806" max="806" width="10.125" style="541" customWidth="1"/>
    <col min="807" max="808" width="9.375" style="541" customWidth="1"/>
    <col min="809" max="820" width="0" style="541" hidden="1" customWidth="1"/>
    <col min="821" max="1024" width="9" style="541"/>
    <col min="1025" max="1025" width="3.875" style="541" customWidth="1"/>
    <col min="1026" max="1026" width="16.5" style="541" customWidth="1"/>
    <col min="1027" max="1028" width="10.125" style="541" customWidth="1"/>
    <col min="1029" max="1030" width="9.375" style="541" customWidth="1"/>
    <col min="1031" max="1043" width="0" style="541" hidden="1" customWidth="1"/>
    <col min="1044" max="1044" width="8.375" style="541" bestFit="1" customWidth="1"/>
    <col min="1045" max="1045" width="10.125" style="541" customWidth="1"/>
    <col min="1046" max="1046" width="9.375" style="541" customWidth="1"/>
    <col min="1047" max="1047" width="10" style="541" customWidth="1"/>
    <col min="1048" max="1060" width="0" style="541" hidden="1" customWidth="1"/>
    <col min="1061" max="1061" width="9.375" style="541" bestFit="1" customWidth="1"/>
    <col min="1062" max="1062" width="10.125" style="541" customWidth="1"/>
    <col min="1063" max="1064" width="9.375" style="541" customWidth="1"/>
    <col min="1065" max="1076" width="0" style="541" hidden="1" customWidth="1"/>
    <col min="1077" max="1280" width="9" style="541"/>
    <col min="1281" max="1281" width="3.875" style="541" customWidth="1"/>
    <col min="1282" max="1282" width="16.5" style="541" customWidth="1"/>
    <col min="1283" max="1284" width="10.125" style="541" customWidth="1"/>
    <col min="1285" max="1286" width="9.375" style="541" customWidth="1"/>
    <col min="1287" max="1299" width="0" style="541" hidden="1" customWidth="1"/>
    <col min="1300" max="1300" width="8.375" style="541" bestFit="1" customWidth="1"/>
    <col min="1301" max="1301" width="10.125" style="541" customWidth="1"/>
    <col min="1302" max="1302" width="9.375" style="541" customWidth="1"/>
    <col min="1303" max="1303" width="10" style="541" customWidth="1"/>
    <col min="1304" max="1316" width="0" style="541" hidden="1" customWidth="1"/>
    <col min="1317" max="1317" width="9.375" style="541" bestFit="1" customWidth="1"/>
    <col min="1318" max="1318" width="10.125" style="541" customWidth="1"/>
    <col min="1319" max="1320" width="9.375" style="541" customWidth="1"/>
    <col min="1321" max="1332" width="0" style="541" hidden="1" customWidth="1"/>
    <col min="1333" max="1536" width="9" style="541"/>
    <col min="1537" max="1537" width="3.875" style="541" customWidth="1"/>
    <col min="1538" max="1538" width="16.5" style="541" customWidth="1"/>
    <col min="1539" max="1540" width="10.125" style="541" customWidth="1"/>
    <col min="1541" max="1542" width="9.375" style="541" customWidth="1"/>
    <col min="1543" max="1555" width="0" style="541" hidden="1" customWidth="1"/>
    <col min="1556" max="1556" width="8.375" style="541" bestFit="1" customWidth="1"/>
    <col min="1557" max="1557" width="10.125" style="541" customWidth="1"/>
    <col min="1558" max="1558" width="9.375" style="541" customWidth="1"/>
    <col min="1559" max="1559" width="10" style="541" customWidth="1"/>
    <col min="1560" max="1572" width="0" style="541" hidden="1" customWidth="1"/>
    <col min="1573" max="1573" width="9.375" style="541" bestFit="1" customWidth="1"/>
    <col min="1574" max="1574" width="10.125" style="541" customWidth="1"/>
    <col min="1575" max="1576" width="9.375" style="541" customWidth="1"/>
    <col min="1577" max="1588" width="0" style="541" hidden="1" customWidth="1"/>
    <col min="1589" max="1792" width="9" style="541"/>
    <col min="1793" max="1793" width="3.875" style="541" customWidth="1"/>
    <col min="1794" max="1794" width="16.5" style="541" customWidth="1"/>
    <col min="1795" max="1796" width="10.125" style="541" customWidth="1"/>
    <col min="1797" max="1798" width="9.375" style="541" customWidth="1"/>
    <col min="1799" max="1811" width="0" style="541" hidden="1" customWidth="1"/>
    <col min="1812" max="1812" width="8.375" style="541" bestFit="1" customWidth="1"/>
    <col min="1813" max="1813" width="10.125" style="541" customWidth="1"/>
    <col min="1814" max="1814" width="9.375" style="541" customWidth="1"/>
    <col min="1815" max="1815" width="10" style="541" customWidth="1"/>
    <col min="1816" max="1828" width="0" style="541" hidden="1" customWidth="1"/>
    <col min="1829" max="1829" width="9.375" style="541" bestFit="1" customWidth="1"/>
    <col min="1830" max="1830" width="10.125" style="541" customWidth="1"/>
    <col min="1831" max="1832" width="9.375" style="541" customWidth="1"/>
    <col min="1833" max="1844" width="0" style="541" hidden="1" customWidth="1"/>
    <col min="1845" max="2048" width="9" style="541"/>
    <col min="2049" max="2049" width="3.875" style="541" customWidth="1"/>
    <col min="2050" max="2050" width="16.5" style="541" customWidth="1"/>
    <col min="2051" max="2052" width="10.125" style="541" customWidth="1"/>
    <col min="2053" max="2054" width="9.375" style="541" customWidth="1"/>
    <col min="2055" max="2067" width="0" style="541" hidden="1" customWidth="1"/>
    <col min="2068" max="2068" width="8.375" style="541" bestFit="1" customWidth="1"/>
    <col min="2069" max="2069" width="10.125" style="541" customWidth="1"/>
    <col min="2070" max="2070" width="9.375" style="541" customWidth="1"/>
    <col min="2071" max="2071" width="10" style="541" customWidth="1"/>
    <col min="2072" max="2084" width="0" style="541" hidden="1" customWidth="1"/>
    <col min="2085" max="2085" width="9.375" style="541" bestFit="1" customWidth="1"/>
    <col min="2086" max="2086" width="10.125" style="541" customWidth="1"/>
    <col min="2087" max="2088" width="9.375" style="541" customWidth="1"/>
    <col min="2089" max="2100" width="0" style="541" hidden="1" customWidth="1"/>
    <col min="2101" max="2304" width="9" style="541"/>
    <col min="2305" max="2305" width="3.875" style="541" customWidth="1"/>
    <col min="2306" max="2306" width="16.5" style="541" customWidth="1"/>
    <col min="2307" max="2308" width="10.125" style="541" customWidth="1"/>
    <col min="2309" max="2310" width="9.375" style="541" customWidth="1"/>
    <col min="2311" max="2323" width="0" style="541" hidden="1" customWidth="1"/>
    <col min="2324" max="2324" width="8.375" style="541" bestFit="1" customWidth="1"/>
    <col min="2325" max="2325" width="10.125" style="541" customWidth="1"/>
    <col min="2326" max="2326" width="9.375" style="541" customWidth="1"/>
    <col min="2327" max="2327" width="10" style="541" customWidth="1"/>
    <col min="2328" max="2340" width="0" style="541" hidden="1" customWidth="1"/>
    <col min="2341" max="2341" width="9.375" style="541" bestFit="1" customWidth="1"/>
    <col min="2342" max="2342" width="10.125" style="541" customWidth="1"/>
    <col min="2343" max="2344" width="9.375" style="541" customWidth="1"/>
    <col min="2345" max="2356" width="0" style="541" hidden="1" customWidth="1"/>
    <col min="2357" max="2560" width="9" style="541"/>
    <col min="2561" max="2561" width="3.875" style="541" customWidth="1"/>
    <col min="2562" max="2562" width="16.5" style="541" customWidth="1"/>
    <col min="2563" max="2564" width="10.125" style="541" customWidth="1"/>
    <col min="2565" max="2566" width="9.375" style="541" customWidth="1"/>
    <col min="2567" max="2579" width="0" style="541" hidden="1" customWidth="1"/>
    <col min="2580" max="2580" width="8.375" style="541" bestFit="1" customWidth="1"/>
    <col min="2581" max="2581" width="10.125" style="541" customWidth="1"/>
    <col min="2582" max="2582" width="9.375" style="541" customWidth="1"/>
    <col min="2583" max="2583" width="10" style="541" customWidth="1"/>
    <col min="2584" max="2596" width="0" style="541" hidden="1" customWidth="1"/>
    <col min="2597" max="2597" width="9.375" style="541" bestFit="1" customWidth="1"/>
    <col min="2598" max="2598" width="10.125" style="541" customWidth="1"/>
    <col min="2599" max="2600" width="9.375" style="541" customWidth="1"/>
    <col min="2601" max="2612" width="0" style="541" hidden="1" customWidth="1"/>
    <col min="2613" max="2816" width="9" style="541"/>
    <col min="2817" max="2817" width="3.875" style="541" customWidth="1"/>
    <col min="2818" max="2818" width="16.5" style="541" customWidth="1"/>
    <col min="2819" max="2820" width="10.125" style="541" customWidth="1"/>
    <col min="2821" max="2822" width="9.375" style="541" customWidth="1"/>
    <col min="2823" max="2835" width="0" style="541" hidden="1" customWidth="1"/>
    <col min="2836" max="2836" width="8.375" style="541" bestFit="1" customWidth="1"/>
    <col min="2837" max="2837" width="10.125" style="541" customWidth="1"/>
    <col min="2838" max="2838" width="9.375" style="541" customWidth="1"/>
    <col min="2839" max="2839" width="10" style="541" customWidth="1"/>
    <col min="2840" max="2852" width="0" style="541" hidden="1" customWidth="1"/>
    <col min="2853" max="2853" width="9.375" style="541" bestFit="1" customWidth="1"/>
    <col min="2854" max="2854" width="10.125" style="541" customWidth="1"/>
    <col min="2855" max="2856" width="9.375" style="541" customWidth="1"/>
    <col min="2857" max="2868" width="0" style="541" hidden="1" customWidth="1"/>
    <col min="2869" max="3072" width="9" style="541"/>
    <col min="3073" max="3073" width="3.875" style="541" customWidth="1"/>
    <col min="3074" max="3074" width="16.5" style="541" customWidth="1"/>
    <col min="3075" max="3076" width="10.125" style="541" customWidth="1"/>
    <col min="3077" max="3078" width="9.375" style="541" customWidth="1"/>
    <col min="3079" max="3091" width="0" style="541" hidden="1" customWidth="1"/>
    <col min="3092" max="3092" width="8.375" style="541" bestFit="1" customWidth="1"/>
    <col min="3093" max="3093" width="10.125" style="541" customWidth="1"/>
    <col min="3094" max="3094" width="9.375" style="541" customWidth="1"/>
    <col min="3095" max="3095" width="10" style="541" customWidth="1"/>
    <col min="3096" max="3108" width="0" style="541" hidden="1" customWidth="1"/>
    <col min="3109" max="3109" width="9.375" style="541" bestFit="1" customWidth="1"/>
    <col min="3110" max="3110" width="10.125" style="541" customWidth="1"/>
    <col min="3111" max="3112" width="9.375" style="541" customWidth="1"/>
    <col min="3113" max="3124" width="0" style="541" hidden="1" customWidth="1"/>
    <col min="3125" max="3328" width="9" style="541"/>
    <col min="3329" max="3329" width="3.875" style="541" customWidth="1"/>
    <col min="3330" max="3330" width="16.5" style="541" customWidth="1"/>
    <col min="3331" max="3332" width="10.125" style="541" customWidth="1"/>
    <col min="3333" max="3334" width="9.375" style="541" customWidth="1"/>
    <col min="3335" max="3347" width="0" style="541" hidden="1" customWidth="1"/>
    <col min="3348" max="3348" width="8.375" style="541" bestFit="1" customWidth="1"/>
    <col min="3349" max="3349" width="10.125" style="541" customWidth="1"/>
    <col min="3350" max="3350" width="9.375" style="541" customWidth="1"/>
    <col min="3351" max="3351" width="10" style="541" customWidth="1"/>
    <col min="3352" max="3364" width="0" style="541" hidden="1" customWidth="1"/>
    <col min="3365" max="3365" width="9.375" style="541" bestFit="1" customWidth="1"/>
    <col min="3366" max="3366" width="10.125" style="541" customWidth="1"/>
    <col min="3367" max="3368" width="9.375" style="541" customWidth="1"/>
    <col min="3369" max="3380" width="0" style="541" hidden="1" customWidth="1"/>
    <col min="3381" max="3584" width="9" style="541"/>
    <col min="3585" max="3585" width="3.875" style="541" customWidth="1"/>
    <col min="3586" max="3586" width="16.5" style="541" customWidth="1"/>
    <col min="3587" max="3588" width="10.125" style="541" customWidth="1"/>
    <col min="3589" max="3590" width="9.375" style="541" customWidth="1"/>
    <col min="3591" max="3603" width="0" style="541" hidden="1" customWidth="1"/>
    <col min="3604" max="3604" width="8.375" style="541" bestFit="1" customWidth="1"/>
    <col min="3605" max="3605" width="10.125" style="541" customWidth="1"/>
    <col min="3606" max="3606" width="9.375" style="541" customWidth="1"/>
    <col min="3607" max="3607" width="10" style="541" customWidth="1"/>
    <col min="3608" max="3620" width="0" style="541" hidden="1" customWidth="1"/>
    <col min="3621" max="3621" width="9.375" style="541" bestFit="1" customWidth="1"/>
    <col min="3622" max="3622" width="10.125" style="541" customWidth="1"/>
    <col min="3623" max="3624" width="9.375" style="541" customWidth="1"/>
    <col min="3625" max="3636" width="0" style="541" hidden="1" customWidth="1"/>
    <col min="3637" max="3840" width="9" style="541"/>
    <col min="3841" max="3841" width="3.875" style="541" customWidth="1"/>
    <col min="3842" max="3842" width="16.5" style="541" customWidth="1"/>
    <col min="3843" max="3844" width="10.125" style="541" customWidth="1"/>
    <col min="3845" max="3846" width="9.375" style="541" customWidth="1"/>
    <col min="3847" max="3859" width="0" style="541" hidden="1" customWidth="1"/>
    <col min="3860" max="3860" width="8.375" style="541" bestFit="1" customWidth="1"/>
    <col min="3861" max="3861" width="10.125" style="541" customWidth="1"/>
    <col min="3862" max="3862" width="9.375" style="541" customWidth="1"/>
    <col min="3863" max="3863" width="10" style="541" customWidth="1"/>
    <col min="3864" max="3876" width="0" style="541" hidden="1" customWidth="1"/>
    <col min="3877" max="3877" width="9.375" style="541" bestFit="1" customWidth="1"/>
    <col min="3878" max="3878" width="10.125" style="541" customWidth="1"/>
    <col min="3879" max="3880" width="9.375" style="541" customWidth="1"/>
    <col min="3881" max="3892" width="0" style="541" hidden="1" customWidth="1"/>
    <col min="3893" max="4096" width="9" style="541"/>
    <col min="4097" max="4097" width="3.875" style="541" customWidth="1"/>
    <col min="4098" max="4098" width="16.5" style="541" customWidth="1"/>
    <col min="4099" max="4100" width="10.125" style="541" customWidth="1"/>
    <col min="4101" max="4102" width="9.375" style="541" customWidth="1"/>
    <col min="4103" max="4115" width="0" style="541" hidden="1" customWidth="1"/>
    <col min="4116" max="4116" width="8.375" style="541" bestFit="1" customWidth="1"/>
    <col min="4117" max="4117" width="10.125" style="541" customWidth="1"/>
    <col min="4118" max="4118" width="9.375" style="541" customWidth="1"/>
    <col min="4119" max="4119" width="10" style="541" customWidth="1"/>
    <col min="4120" max="4132" width="0" style="541" hidden="1" customWidth="1"/>
    <col min="4133" max="4133" width="9.375" style="541" bestFit="1" customWidth="1"/>
    <col min="4134" max="4134" width="10.125" style="541" customWidth="1"/>
    <col min="4135" max="4136" width="9.375" style="541" customWidth="1"/>
    <col min="4137" max="4148" width="0" style="541" hidden="1" customWidth="1"/>
    <col min="4149" max="4352" width="9" style="541"/>
    <col min="4353" max="4353" width="3.875" style="541" customWidth="1"/>
    <col min="4354" max="4354" width="16.5" style="541" customWidth="1"/>
    <col min="4355" max="4356" width="10.125" style="541" customWidth="1"/>
    <col min="4357" max="4358" width="9.375" style="541" customWidth="1"/>
    <col min="4359" max="4371" width="0" style="541" hidden="1" customWidth="1"/>
    <col min="4372" max="4372" width="8.375" style="541" bestFit="1" customWidth="1"/>
    <col min="4373" max="4373" width="10.125" style="541" customWidth="1"/>
    <col min="4374" max="4374" width="9.375" style="541" customWidth="1"/>
    <col min="4375" max="4375" width="10" style="541" customWidth="1"/>
    <col min="4376" max="4388" width="0" style="541" hidden="1" customWidth="1"/>
    <col min="4389" max="4389" width="9.375" style="541" bestFit="1" customWidth="1"/>
    <col min="4390" max="4390" width="10.125" style="541" customWidth="1"/>
    <col min="4391" max="4392" width="9.375" style="541" customWidth="1"/>
    <col min="4393" max="4404" width="0" style="541" hidden="1" customWidth="1"/>
    <col min="4405" max="4608" width="9" style="541"/>
    <col min="4609" max="4609" width="3.875" style="541" customWidth="1"/>
    <col min="4610" max="4610" width="16.5" style="541" customWidth="1"/>
    <col min="4611" max="4612" width="10.125" style="541" customWidth="1"/>
    <col min="4613" max="4614" width="9.375" style="541" customWidth="1"/>
    <col min="4615" max="4627" width="0" style="541" hidden="1" customWidth="1"/>
    <col min="4628" max="4628" width="8.375" style="541" bestFit="1" customWidth="1"/>
    <col min="4629" max="4629" width="10.125" style="541" customWidth="1"/>
    <col min="4630" max="4630" width="9.375" style="541" customWidth="1"/>
    <col min="4631" max="4631" width="10" style="541" customWidth="1"/>
    <col min="4632" max="4644" width="0" style="541" hidden="1" customWidth="1"/>
    <col min="4645" max="4645" width="9.375" style="541" bestFit="1" customWidth="1"/>
    <col min="4646" max="4646" width="10.125" style="541" customWidth="1"/>
    <col min="4647" max="4648" width="9.375" style="541" customWidth="1"/>
    <col min="4649" max="4660" width="0" style="541" hidden="1" customWidth="1"/>
    <col min="4661" max="4864" width="9" style="541"/>
    <col min="4865" max="4865" width="3.875" style="541" customWidth="1"/>
    <col min="4866" max="4866" width="16.5" style="541" customWidth="1"/>
    <col min="4867" max="4868" width="10.125" style="541" customWidth="1"/>
    <col min="4869" max="4870" width="9.375" style="541" customWidth="1"/>
    <col min="4871" max="4883" width="0" style="541" hidden="1" customWidth="1"/>
    <col min="4884" max="4884" width="8.375" style="541" bestFit="1" customWidth="1"/>
    <col min="4885" max="4885" width="10.125" style="541" customWidth="1"/>
    <col min="4886" max="4886" width="9.375" style="541" customWidth="1"/>
    <col min="4887" max="4887" width="10" style="541" customWidth="1"/>
    <col min="4888" max="4900" width="0" style="541" hidden="1" customWidth="1"/>
    <col min="4901" max="4901" width="9.375" style="541" bestFit="1" customWidth="1"/>
    <col min="4902" max="4902" width="10.125" style="541" customWidth="1"/>
    <col min="4903" max="4904" width="9.375" style="541" customWidth="1"/>
    <col min="4905" max="4916" width="0" style="541" hidden="1" customWidth="1"/>
    <col min="4917" max="5120" width="9" style="541"/>
    <col min="5121" max="5121" width="3.875" style="541" customWidth="1"/>
    <col min="5122" max="5122" width="16.5" style="541" customWidth="1"/>
    <col min="5123" max="5124" width="10.125" style="541" customWidth="1"/>
    <col min="5125" max="5126" width="9.375" style="541" customWidth="1"/>
    <col min="5127" max="5139" width="0" style="541" hidden="1" customWidth="1"/>
    <col min="5140" max="5140" width="8.375" style="541" bestFit="1" customWidth="1"/>
    <col min="5141" max="5141" width="10.125" style="541" customWidth="1"/>
    <col min="5142" max="5142" width="9.375" style="541" customWidth="1"/>
    <col min="5143" max="5143" width="10" style="541" customWidth="1"/>
    <col min="5144" max="5156" width="0" style="541" hidden="1" customWidth="1"/>
    <col min="5157" max="5157" width="9.375" style="541" bestFit="1" customWidth="1"/>
    <col min="5158" max="5158" width="10.125" style="541" customWidth="1"/>
    <col min="5159" max="5160" width="9.375" style="541" customWidth="1"/>
    <col min="5161" max="5172" width="0" style="541" hidden="1" customWidth="1"/>
    <col min="5173" max="5376" width="9" style="541"/>
    <col min="5377" max="5377" width="3.875" style="541" customWidth="1"/>
    <col min="5378" max="5378" width="16.5" style="541" customWidth="1"/>
    <col min="5379" max="5380" width="10.125" style="541" customWidth="1"/>
    <col min="5381" max="5382" width="9.375" style="541" customWidth="1"/>
    <col min="5383" max="5395" width="0" style="541" hidden="1" customWidth="1"/>
    <col min="5396" max="5396" width="8.375" style="541" bestFit="1" customWidth="1"/>
    <col min="5397" max="5397" width="10.125" style="541" customWidth="1"/>
    <col min="5398" max="5398" width="9.375" style="541" customWidth="1"/>
    <col min="5399" max="5399" width="10" style="541" customWidth="1"/>
    <col min="5400" max="5412" width="0" style="541" hidden="1" customWidth="1"/>
    <col min="5413" max="5413" width="9.375" style="541" bestFit="1" customWidth="1"/>
    <col min="5414" max="5414" width="10.125" style="541" customWidth="1"/>
    <col min="5415" max="5416" width="9.375" style="541" customWidth="1"/>
    <col min="5417" max="5428" width="0" style="541" hidden="1" customWidth="1"/>
    <col min="5429" max="5632" width="9" style="541"/>
    <col min="5633" max="5633" width="3.875" style="541" customWidth="1"/>
    <col min="5634" max="5634" width="16.5" style="541" customWidth="1"/>
    <col min="5635" max="5636" width="10.125" style="541" customWidth="1"/>
    <col min="5637" max="5638" width="9.375" style="541" customWidth="1"/>
    <col min="5639" max="5651" width="0" style="541" hidden="1" customWidth="1"/>
    <col min="5652" max="5652" width="8.375" style="541" bestFit="1" customWidth="1"/>
    <col min="5653" max="5653" width="10.125" style="541" customWidth="1"/>
    <col min="5654" max="5654" width="9.375" style="541" customWidth="1"/>
    <col min="5655" max="5655" width="10" style="541" customWidth="1"/>
    <col min="5656" max="5668" width="0" style="541" hidden="1" customWidth="1"/>
    <col min="5669" max="5669" width="9.375" style="541" bestFit="1" customWidth="1"/>
    <col min="5670" max="5670" width="10.125" style="541" customWidth="1"/>
    <col min="5671" max="5672" width="9.375" style="541" customWidth="1"/>
    <col min="5673" max="5684" width="0" style="541" hidden="1" customWidth="1"/>
    <col min="5685" max="5888" width="9" style="541"/>
    <col min="5889" max="5889" width="3.875" style="541" customWidth="1"/>
    <col min="5890" max="5890" width="16.5" style="541" customWidth="1"/>
    <col min="5891" max="5892" width="10.125" style="541" customWidth="1"/>
    <col min="5893" max="5894" width="9.375" style="541" customWidth="1"/>
    <col min="5895" max="5907" width="0" style="541" hidden="1" customWidth="1"/>
    <col min="5908" max="5908" width="8.375" style="541" bestFit="1" customWidth="1"/>
    <col min="5909" max="5909" width="10.125" style="541" customWidth="1"/>
    <col min="5910" max="5910" width="9.375" style="541" customWidth="1"/>
    <col min="5911" max="5911" width="10" style="541" customWidth="1"/>
    <col min="5912" max="5924" width="0" style="541" hidden="1" customWidth="1"/>
    <col min="5925" max="5925" width="9.375" style="541" bestFit="1" customWidth="1"/>
    <col min="5926" max="5926" width="10.125" style="541" customWidth="1"/>
    <col min="5927" max="5928" width="9.375" style="541" customWidth="1"/>
    <col min="5929" max="5940" width="0" style="541" hidden="1" customWidth="1"/>
    <col min="5941" max="6144" width="9" style="541"/>
    <col min="6145" max="6145" width="3.875" style="541" customWidth="1"/>
    <col min="6146" max="6146" width="16.5" style="541" customWidth="1"/>
    <col min="6147" max="6148" width="10.125" style="541" customWidth="1"/>
    <col min="6149" max="6150" width="9.375" style="541" customWidth="1"/>
    <col min="6151" max="6163" width="0" style="541" hidden="1" customWidth="1"/>
    <col min="6164" max="6164" width="8.375" style="541" bestFit="1" customWidth="1"/>
    <col min="6165" max="6165" width="10.125" style="541" customWidth="1"/>
    <col min="6166" max="6166" width="9.375" style="541" customWidth="1"/>
    <col min="6167" max="6167" width="10" style="541" customWidth="1"/>
    <col min="6168" max="6180" width="0" style="541" hidden="1" customWidth="1"/>
    <col min="6181" max="6181" width="9.375" style="541" bestFit="1" customWidth="1"/>
    <col min="6182" max="6182" width="10.125" style="541" customWidth="1"/>
    <col min="6183" max="6184" width="9.375" style="541" customWidth="1"/>
    <col min="6185" max="6196" width="0" style="541" hidden="1" customWidth="1"/>
    <col min="6197" max="6400" width="9" style="541"/>
    <col min="6401" max="6401" width="3.875" style="541" customWidth="1"/>
    <col min="6402" max="6402" width="16.5" style="541" customWidth="1"/>
    <col min="6403" max="6404" width="10.125" style="541" customWidth="1"/>
    <col min="6405" max="6406" width="9.375" style="541" customWidth="1"/>
    <col min="6407" max="6419" width="0" style="541" hidden="1" customWidth="1"/>
    <col min="6420" max="6420" width="8.375" style="541" bestFit="1" customWidth="1"/>
    <col min="6421" max="6421" width="10.125" style="541" customWidth="1"/>
    <col min="6422" max="6422" width="9.375" style="541" customWidth="1"/>
    <col min="6423" max="6423" width="10" style="541" customWidth="1"/>
    <col min="6424" max="6436" width="0" style="541" hidden="1" customWidth="1"/>
    <col min="6437" max="6437" width="9.375" style="541" bestFit="1" customWidth="1"/>
    <col min="6438" max="6438" width="10.125" style="541" customWidth="1"/>
    <col min="6439" max="6440" width="9.375" style="541" customWidth="1"/>
    <col min="6441" max="6452" width="0" style="541" hidden="1" customWidth="1"/>
    <col min="6453" max="6656" width="9" style="541"/>
    <col min="6657" max="6657" width="3.875" style="541" customWidth="1"/>
    <col min="6658" max="6658" width="16.5" style="541" customWidth="1"/>
    <col min="6659" max="6660" width="10.125" style="541" customWidth="1"/>
    <col min="6661" max="6662" width="9.375" style="541" customWidth="1"/>
    <col min="6663" max="6675" width="0" style="541" hidden="1" customWidth="1"/>
    <col min="6676" max="6676" width="8.375" style="541" bestFit="1" customWidth="1"/>
    <col min="6677" max="6677" width="10.125" style="541" customWidth="1"/>
    <col min="6678" max="6678" width="9.375" style="541" customWidth="1"/>
    <col min="6679" max="6679" width="10" style="541" customWidth="1"/>
    <col min="6680" max="6692" width="0" style="541" hidden="1" customWidth="1"/>
    <col min="6693" max="6693" width="9.375" style="541" bestFit="1" customWidth="1"/>
    <col min="6694" max="6694" width="10.125" style="541" customWidth="1"/>
    <col min="6695" max="6696" width="9.375" style="541" customWidth="1"/>
    <col min="6697" max="6708" width="0" style="541" hidden="1" customWidth="1"/>
    <col min="6709" max="6912" width="9" style="541"/>
    <col min="6913" max="6913" width="3.875" style="541" customWidth="1"/>
    <col min="6914" max="6914" width="16.5" style="541" customWidth="1"/>
    <col min="6915" max="6916" width="10.125" style="541" customWidth="1"/>
    <col min="6917" max="6918" width="9.375" style="541" customWidth="1"/>
    <col min="6919" max="6931" width="0" style="541" hidden="1" customWidth="1"/>
    <col min="6932" max="6932" width="8.375" style="541" bestFit="1" customWidth="1"/>
    <col min="6933" max="6933" width="10.125" style="541" customWidth="1"/>
    <col min="6934" max="6934" width="9.375" style="541" customWidth="1"/>
    <col min="6935" max="6935" width="10" style="541" customWidth="1"/>
    <col min="6936" max="6948" width="0" style="541" hidden="1" customWidth="1"/>
    <col min="6949" max="6949" width="9.375" style="541" bestFit="1" customWidth="1"/>
    <col min="6950" max="6950" width="10.125" style="541" customWidth="1"/>
    <col min="6951" max="6952" width="9.375" style="541" customWidth="1"/>
    <col min="6953" max="6964" width="0" style="541" hidden="1" customWidth="1"/>
    <col min="6965" max="7168" width="9" style="541"/>
    <col min="7169" max="7169" width="3.875" style="541" customWidth="1"/>
    <col min="7170" max="7170" width="16.5" style="541" customWidth="1"/>
    <col min="7171" max="7172" width="10.125" style="541" customWidth="1"/>
    <col min="7173" max="7174" width="9.375" style="541" customWidth="1"/>
    <col min="7175" max="7187" width="0" style="541" hidden="1" customWidth="1"/>
    <col min="7188" max="7188" width="8.375" style="541" bestFit="1" customWidth="1"/>
    <col min="7189" max="7189" width="10.125" style="541" customWidth="1"/>
    <col min="7190" max="7190" width="9.375" style="541" customWidth="1"/>
    <col min="7191" max="7191" width="10" style="541" customWidth="1"/>
    <col min="7192" max="7204" width="0" style="541" hidden="1" customWidth="1"/>
    <col min="7205" max="7205" width="9.375" style="541" bestFit="1" customWidth="1"/>
    <col min="7206" max="7206" width="10.125" style="541" customWidth="1"/>
    <col min="7207" max="7208" width="9.375" style="541" customWidth="1"/>
    <col min="7209" max="7220" width="0" style="541" hidden="1" customWidth="1"/>
    <col min="7221" max="7424" width="9" style="541"/>
    <col min="7425" max="7425" width="3.875" style="541" customWidth="1"/>
    <col min="7426" max="7426" width="16.5" style="541" customWidth="1"/>
    <col min="7427" max="7428" width="10.125" style="541" customWidth="1"/>
    <col min="7429" max="7430" width="9.375" style="541" customWidth="1"/>
    <col min="7431" max="7443" width="0" style="541" hidden="1" customWidth="1"/>
    <col min="7444" max="7444" width="8.375" style="541" bestFit="1" customWidth="1"/>
    <col min="7445" max="7445" width="10.125" style="541" customWidth="1"/>
    <col min="7446" max="7446" width="9.375" style="541" customWidth="1"/>
    <col min="7447" max="7447" width="10" style="541" customWidth="1"/>
    <col min="7448" max="7460" width="0" style="541" hidden="1" customWidth="1"/>
    <col min="7461" max="7461" width="9.375" style="541" bestFit="1" customWidth="1"/>
    <col min="7462" max="7462" width="10.125" style="541" customWidth="1"/>
    <col min="7463" max="7464" width="9.375" style="541" customWidth="1"/>
    <col min="7465" max="7476" width="0" style="541" hidden="1" customWidth="1"/>
    <col min="7477" max="7680" width="9" style="541"/>
    <col min="7681" max="7681" width="3.875" style="541" customWidth="1"/>
    <col min="7682" max="7682" width="16.5" style="541" customWidth="1"/>
    <col min="7683" max="7684" width="10.125" style="541" customWidth="1"/>
    <col min="7685" max="7686" width="9.375" style="541" customWidth="1"/>
    <col min="7687" max="7699" width="0" style="541" hidden="1" customWidth="1"/>
    <col min="7700" max="7700" width="8.375" style="541" bestFit="1" customWidth="1"/>
    <col min="7701" max="7701" width="10.125" style="541" customWidth="1"/>
    <col min="7702" max="7702" width="9.375" style="541" customWidth="1"/>
    <col min="7703" max="7703" width="10" style="541" customWidth="1"/>
    <col min="7704" max="7716" width="0" style="541" hidden="1" customWidth="1"/>
    <col min="7717" max="7717" width="9.375" style="541" bestFit="1" customWidth="1"/>
    <col min="7718" max="7718" width="10.125" style="541" customWidth="1"/>
    <col min="7719" max="7720" width="9.375" style="541" customWidth="1"/>
    <col min="7721" max="7732" width="0" style="541" hidden="1" customWidth="1"/>
    <col min="7733" max="7936" width="9" style="541"/>
    <col min="7937" max="7937" width="3.875" style="541" customWidth="1"/>
    <col min="7938" max="7938" width="16.5" style="541" customWidth="1"/>
    <col min="7939" max="7940" width="10.125" style="541" customWidth="1"/>
    <col min="7941" max="7942" width="9.375" style="541" customWidth="1"/>
    <col min="7943" max="7955" width="0" style="541" hidden="1" customWidth="1"/>
    <col min="7956" max="7956" width="8.375" style="541" bestFit="1" customWidth="1"/>
    <col min="7957" max="7957" width="10.125" style="541" customWidth="1"/>
    <col min="7958" max="7958" width="9.375" style="541" customWidth="1"/>
    <col min="7959" max="7959" width="10" style="541" customWidth="1"/>
    <col min="7960" max="7972" width="0" style="541" hidden="1" customWidth="1"/>
    <col min="7973" max="7973" width="9.375" style="541" bestFit="1" customWidth="1"/>
    <col min="7974" max="7974" width="10.125" style="541" customWidth="1"/>
    <col min="7975" max="7976" width="9.375" style="541" customWidth="1"/>
    <col min="7977" max="7988" width="0" style="541" hidden="1" customWidth="1"/>
    <col min="7989" max="8192" width="9" style="541"/>
    <col min="8193" max="8193" width="3.875" style="541" customWidth="1"/>
    <col min="8194" max="8194" width="16.5" style="541" customWidth="1"/>
    <col min="8195" max="8196" width="10.125" style="541" customWidth="1"/>
    <col min="8197" max="8198" width="9.375" style="541" customWidth="1"/>
    <col min="8199" max="8211" width="0" style="541" hidden="1" customWidth="1"/>
    <col min="8212" max="8212" width="8.375" style="541" bestFit="1" customWidth="1"/>
    <col min="8213" max="8213" width="10.125" style="541" customWidth="1"/>
    <col min="8214" max="8214" width="9.375" style="541" customWidth="1"/>
    <col min="8215" max="8215" width="10" style="541" customWidth="1"/>
    <col min="8216" max="8228" width="0" style="541" hidden="1" customWidth="1"/>
    <col min="8229" max="8229" width="9.375" style="541" bestFit="1" customWidth="1"/>
    <col min="8230" max="8230" width="10.125" style="541" customWidth="1"/>
    <col min="8231" max="8232" width="9.375" style="541" customWidth="1"/>
    <col min="8233" max="8244" width="0" style="541" hidden="1" customWidth="1"/>
    <col min="8245" max="8448" width="9" style="541"/>
    <col min="8449" max="8449" width="3.875" style="541" customWidth="1"/>
    <col min="8450" max="8450" width="16.5" style="541" customWidth="1"/>
    <col min="8451" max="8452" width="10.125" style="541" customWidth="1"/>
    <col min="8453" max="8454" width="9.375" style="541" customWidth="1"/>
    <col min="8455" max="8467" width="0" style="541" hidden="1" customWidth="1"/>
    <col min="8468" max="8468" width="8.375" style="541" bestFit="1" customWidth="1"/>
    <col min="8469" max="8469" width="10.125" style="541" customWidth="1"/>
    <col min="8470" max="8470" width="9.375" style="541" customWidth="1"/>
    <col min="8471" max="8471" width="10" style="541" customWidth="1"/>
    <col min="8472" max="8484" width="0" style="541" hidden="1" customWidth="1"/>
    <col min="8485" max="8485" width="9.375" style="541" bestFit="1" customWidth="1"/>
    <col min="8486" max="8486" width="10.125" style="541" customWidth="1"/>
    <col min="8487" max="8488" width="9.375" style="541" customWidth="1"/>
    <col min="8489" max="8500" width="0" style="541" hidden="1" customWidth="1"/>
    <col min="8501" max="8704" width="9" style="541"/>
    <col min="8705" max="8705" width="3.875" style="541" customWidth="1"/>
    <col min="8706" max="8706" width="16.5" style="541" customWidth="1"/>
    <col min="8707" max="8708" width="10.125" style="541" customWidth="1"/>
    <col min="8709" max="8710" width="9.375" style="541" customWidth="1"/>
    <col min="8711" max="8723" width="0" style="541" hidden="1" customWidth="1"/>
    <col min="8724" max="8724" width="8.375" style="541" bestFit="1" customWidth="1"/>
    <col min="8725" max="8725" width="10.125" style="541" customWidth="1"/>
    <col min="8726" max="8726" width="9.375" style="541" customWidth="1"/>
    <col min="8727" max="8727" width="10" style="541" customWidth="1"/>
    <col min="8728" max="8740" width="0" style="541" hidden="1" customWidth="1"/>
    <col min="8741" max="8741" width="9.375" style="541" bestFit="1" customWidth="1"/>
    <col min="8742" max="8742" width="10.125" style="541" customWidth="1"/>
    <col min="8743" max="8744" width="9.375" style="541" customWidth="1"/>
    <col min="8745" max="8756" width="0" style="541" hidden="1" customWidth="1"/>
    <col min="8757" max="8960" width="9" style="541"/>
    <col min="8961" max="8961" width="3.875" style="541" customWidth="1"/>
    <col min="8962" max="8962" width="16.5" style="541" customWidth="1"/>
    <col min="8963" max="8964" width="10.125" style="541" customWidth="1"/>
    <col min="8965" max="8966" width="9.375" style="541" customWidth="1"/>
    <col min="8967" max="8979" width="0" style="541" hidden="1" customWidth="1"/>
    <col min="8980" max="8980" width="8.375" style="541" bestFit="1" customWidth="1"/>
    <col min="8981" max="8981" width="10.125" style="541" customWidth="1"/>
    <col min="8982" max="8982" width="9.375" style="541" customWidth="1"/>
    <col min="8983" max="8983" width="10" style="541" customWidth="1"/>
    <col min="8984" max="8996" width="0" style="541" hidden="1" customWidth="1"/>
    <col min="8997" max="8997" width="9.375" style="541" bestFit="1" customWidth="1"/>
    <col min="8998" max="8998" width="10.125" style="541" customWidth="1"/>
    <col min="8999" max="9000" width="9.375" style="541" customWidth="1"/>
    <col min="9001" max="9012" width="0" style="541" hidden="1" customWidth="1"/>
    <col min="9013" max="9216" width="9" style="541"/>
    <col min="9217" max="9217" width="3.875" style="541" customWidth="1"/>
    <col min="9218" max="9218" width="16.5" style="541" customWidth="1"/>
    <col min="9219" max="9220" width="10.125" style="541" customWidth="1"/>
    <col min="9221" max="9222" width="9.375" style="541" customWidth="1"/>
    <col min="9223" max="9235" width="0" style="541" hidden="1" customWidth="1"/>
    <col min="9236" max="9236" width="8.375" style="541" bestFit="1" customWidth="1"/>
    <col min="9237" max="9237" width="10.125" style="541" customWidth="1"/>
    <col min="9238" max="9238" width="9.375" style="541" customWidth="1"/>
    <col min="9239" max="9239" width="10" style="541" customWidth="1"/>
    <col min="9240" max="9252" width="0" style="541" hidden="1" customWidth="1"/>
    <col min="9253" max="9253" width="9.375" style="541" bestFit="1" customWidth="1"/>
    <col min="9254" max="9254" width="10.125" style="541" customWidth="1"/>
    <col min="9255" max="9256" width="9.375" style="541" customWidth="1"/>
    <col min="9257" max="9268" width="0" style="541" hidden="1" customWidth="1"/>
    <col min="9269" max="9472" width="9" style="541"/>
    <col min="9473" max="9473" width="3.875" style="541" customWidth="1"/>
    <col min="9474" max="9474" width="16.5" style="541" customWidth="1"/>
    <col min="9475" max="9476" width="10.125" style="541" customWidth="1"/>
    <col min="9477" max="9478" width="9.375" style="541" customWidth="1"/>
    <col min="9479" max="9491" width="0" style="541" hidden="1" customWidth="1"/>
    <col min="9492" max="9492" width="8.375" style="541" bestFit="1" customWidth="1"/>
    <col min="9493" max="9493" width="10.125" style="541" customWidth="1"/>
    <col min="9494" max="9494" width="9.375" style="541" customWidth="1"/>
    <col min="9495" max="9495" width="10" style="541" customWidth="1"/>
    <col min="9496" max="9508" width="0" style="541" hidden="1" customWidth="1"/>
    <col min="9509" max="9509" width="9.375" style="541" bestFit="1" customWidth="1"/>
    <col min="9510" max="9510" width="10.125" style="541" customWidth="1"/>
    <col min="9511" max="9512" width="9.375" style="541" customWidth="1"/>
    <col min="9513" max="9524" width="0" style="541" hidden="1" customWidth="1"/>
    <col min="9525" max="9728" width="9" style="541"/>
    <col min="9729" max="9729" width="3.875" style="541" customWidth="1"/>
    <col min="9730" max="9730" width="16.5" style="541" customWidth="1"/>
    <col min="9731" max="9732" width="10.125" style="541" customWidth="1"/>
    <col min="9733" max="9734" width="9.375" style="541" customWidth="1"/>
    <col min="9735" max="9747" width="0" style="541" hidden="1" customWidth="1"/>
    <col min="9748" max="9748" width="8.375" style="541" bestFit="1" customWidth="1"/>
    <col min="9749" max="9749" width="10.125" style="541" customWidth="1"/>
    <col min="9750" max="9750" width="9.375" style="541" customWidth="1"/>
    <col min="9751" max="9751" width="10" style="541" customWidth="1"/>
    <col min="9752" max="9764" width="0" style="541" hidden="1" customWidth="1"/>
    <col min="9765" max="9765" width="9.375" style="541" bestFit="1" customWidth="1"/>
    <col min="9766" max="9766" width="10.125" style="541" customWidth="1"/>
    <col min="9767" max="9768" width="9.375" style="541" customWidth="1"/>
    <col min="9769" max="9780" width="0" style="541" hidden="1" customWidth="1"/>
    <col min="9781" max="9984" width="9" style="541"/>
    <col min="9985" max="9985" width="3.875" style="541" customWidth="1"/>
    <col min="9986" max="9986" width="16.5" style="541" customWidth="1"/>
    <col min="9987" max="9988" width="10.125" style="541" customWidth="1"/>
    <col min="9989" max="9990" width="9.375" style="541" customWidth="1"/>
    <col min="9991" max="10003" width="0" style="541" hidden="1" customWidth="1"/>
    <col min="10004" max="10004" width="8.375" style="541" bestFit="1" customWidth="1"/>
    <col min="10005" max="10005" width="10.125" style="541" customWidth="1"/>
    <col min="10006" max="10006" width="9.375" style="541" customWidth="1"/>
    <col min="10007" max="10007" width="10" style="541" customWidth="1"/>
    <col min="10008" max="10020" width="0" style="541" hidden="1" customWidth="1"/>
    <col min="10021" max="10021" width="9.375" style="541" bestFit="1" customWidth="1"/>
    <col min="10022" max="10022" width="10.125" style="541" customWidth="1"/>
    <col min="10023" max="10024" width="9.375" style="541" customWidth="1"/>
    <col min="10025" max="10036" width="0" style="541" hidden="1" customWidth="1"/>
    <col min="10037" max="10240" width="9" style="541"/>
    <col min="10241" max="10241" width="3.875" style="541" customWidth="1"/>
    <col min="10242" max="10242" width="16.5" style="541" customWidth="1"/>
    <col min="10243" max="10244" width="10.125" style="541" customWidth="1"/>
    <col min="10245" max="10246" width="9.375" style="541" customWidth="1"/>
    <col min="10247" max="10259" width="0" style="541" hidden="1" customWidth="1"/>
    <col min="10260" max="10260" width="8.375" style="541" bestFit="1" customWidth="1"/>
    <col min="10261" max="10261" width="10.125" style="541" customWidth="1"/>
    <col min="10262" max="10262" width="9.375" style="541" customWidth="1"/>
    <col min="10263" max="10263" width="10" style="541" customWidth="1"/>
    <col min="10264" max="10276" width="0" style="541" hidden="1" customWidth="1"/>
    <col min="10277" max="10277" width="9.375" style="541" bestFit="1" customWidth="1"/>
    <col min="10278" max="10278" width="10.125" style="541" customWidth="1"/>
    <col min="10279" max="10280" width="9.375" style="541" customWidth="1"/>
    <col min="10281" max="10292" width="0" style="541" hidden="1" customWidth="1"/>
    <col min="10293" max="10496" width="9" style="541"/>
    <col min="10497" max="10497" width="3.875" style="541" customWidth="1"/>
    <col min="10498" max="10498" width="16.5" style="541" customWidth="1"/>
    <col min="10499" max="10500" width="10.125" style="541" customWidth="1"/>
    <col min="10501" max="10502" width="9.375" style="541" customWidth="1"/>
    <col min="10503" max="10515" width="0" style="541" hidden="1" customWidth="1"/>
    <col min="10516" max="10516" width="8.375" style="541" bestFit="1" customWidth="1"/>
    <col min="10517" max="10517" width="10.125" style="541" customWidth="1"/>
    <col min="10518" max="10518" width="9.375" style="541" customWidth="1"/>
    <col min="10519" max="10519" width="10" style="541" customWidth="1"/>
    <col min="10520" max="10532" width="0" style="541" hidden="1" customWidth="1"/>
    <col min="10533" max="10533" width="9.375" style="541" bestFit="1" customWidth="1"/>
    <col min="10534" max="10534" width="10.125" style="541" customWidth="1"/>
    <col min="10535" max="10536" width="9.375" style="541" customWidth="1"/>
    <col min="10537" max="10548" width="0" style="541" hidden="1" customWidth="1"/>
    <col min="10549" max="10752" width="9" style="541"/>
    <col min="10753" max="10753" width="3.875" style="541" customWidth="1"/>
    <col min="10754" max="10754" width="16.5" style="541" customWidth="1"/>
    <col min="10755" max="10756" width="10.125" style="541" customWidth="1"/>
    <col min="10757" max="10758" width="9.375" style="541" customWidth="1"/>
    <col min="10759" max="10771" width="0" style="541" hidden="1" customWidth="1"/>
    <col min="10772" max="10772" width="8.375" style="541" bestFit="1" customWidth="1"/>
    <col min="10773" max="10773" width="10.125" style="541" customWidth="1"/>
    <col min="10774" max="10774" width="9.375" style="541" customWidth="1"/>
    <col min="10775" max="10775" width="10" style="541" customWidth="1"/>
    <col min="10776" max="10788" width="0" style="541" hidden="1" customWidth="1"/>
    <col min="10789" max="10789" width="9.375" style="541" bestFit="1" customWidth="1"/>
    <col min="10790" max="10790" width="10.125" style="541" customWidth="1"/>
    <col min="10791" max="10792" width="9.375" style="541" customWidth="1"/>
    <col min="10793" max="10804" width="0" style="541" hidden="1" customWidth="1"/>
    <col min="10805" max="11008" width="9" style="541"/>
    <col min="11009" max="11009" width="3.875" style="541" customWidth="1"/>
    <col min="11010" max="11010" width="16.5" style="541" customWidth="1"/>
    <col min="11011" max="11012" width="10.125" style="541" customWidth="1"/>
    <col min="11013" max="11014" width="9.375" style="541" customWidth="1"/>
    <col min="11015" max="11027" width="0" style="541" hidden="1" customWidth="1"/>
    <col min="11028" max="11028" width="8.375" style="541" bestFit="1" customWidth="1"/>
    <col min="11029" max="11029" width="10.125" style="541" customWidth="1"/>
    <col min="11030" max="11030" width="9.375" style="541" customWidth="1"/>
    <col min="11031" max="11031" width="10" style="541" customWidth="1"/>
    <col min="11032" max="11044" width="0" style="541" hidden="1" customWidth="1"/>
    <col min="11045" max="11045" width="9.375" style="541" bestFit="1" customWidth="1"/>
    <col min="11046" max="11046" width="10.125" style="541" customWidth="1"/>
    <col min="11047" max="11048" width="9.375" style="541" customWidth="1"/>
    <col min="11049" max="11060" width="0" style="541" hidden="1" customWidth="1"/>
    <col min="11061" max="11264" width="9" style="541"/>
    <col min="11265" max="11265" width="3.875" style="541" customWidth="1"/>
    <col min="11266" max="11266" width="16.5" style="541" customWidth="1"/>
    <col min="11267" max="11268" width="10.125" style="541" customWidth="1"/>
    <col min="11269" max="11270" width="9.375" style="541" customWidth="1"/>
    <col min="11271" max="11283" width="0" style="541" hidden="1" customWidth="1"/>
    <col min="11284" max="11284" width="8.375" style="541" bestFit="1" customWidth="1"/>
    <col min="11285" max="11285" width="10.125" style="541" customWidth="1"/>
    <col min="11286" max="11286" width="9.375" style="541" customWidth="1"/>
    <col min="11287" max="11287" width="10" style="541" customWidth="1"/>
    <col min="11288" max="11300" width="0" style="541" hidden="1" customWidth="1"/>
    <col min="11301" max="11301" width="9.375" style="541" bestFit="1" customWidth="1"/>
    <col min="11302" max="11302" width="10.125" style="541" customWidth="1"/>
    <col min="11303" max="11304" width="9.375" style="541" customWidth="1"/>
    <col min="11305" max="11316" width="0" style="541" hidden="1" customWidth="1"/>
    <col min="11317" max="11520" width="9" style="541"/>
    <col min="11521" max="11521" width="3.875" style="541" customWidth="1"/>
    <col min="11522" max="11522" width="16.5" style="541" customWidth="1"/>
    <col min="11523" max="11524" width="10.125" style="541" customWidth="1"/>
    <col min="11525" max="11526" width="9.375" style="541" customWidth="1"/>
    <col min="11527" max="11539" width="0" style="541" hidden="1" customWidth="1"/>
    <col min="11540" max="11540" width="8.375" style="541" bestFit="1" customWidth="1"/>
    <col min="11541" max="11541" width="10.125" style="541" customWidth="1"/>
    <col min="11542" max="11542" width="9.375" style="541" customWidth="1"/>
    <col min="11543" max="11543" width="10" style="541" customWidth="1"/>
    <col min="11544" max="11556" width="0" style="541" hidden="1" customWidth="1"/>
    <col min="11557" max="11557" width="9.375" style="541" bestFit="1" customWidth="1"/>
    <col min="11558" max="11558" width="10.125" style="541" customWidth="1"/>
    <col min="11559" max="11560" width="9.375" style="541" customWidth="1"/>
    <col min="11561" max="11572" width="0" style="541" hidden="1" customWidth="1"/>
    <col min="11573" max="11776" width="9" style="541"/>
    <col min="11777" max="11777" width="3.875" style="541" customWidth="1"/>
    <col min="11778" max="11778" width="16.5" style="541" customWidth="1"/>
    <col min="11779" max="11780" width="10.125" style="541" customWidth="1"/>
    <col min="11781" max="11782" width="9.375" style="541" customWidth="1"/>
    <col min="11783" max="11795" width="0" style="541" hidden="1" customWidth="1"/>
    <col min="11796" max="11796" width="8.375" style="541" bestFit="1" customWidth="1"/>
    <col min="11797" max="11797" width="10.125" style="541" customWidth="1"/>
    <col min="11798" max="11798" width="9.375" style="541" customWidth="1"/>
    <col min="11799" max="11799" width="10" style="541" customWidth="1"/>
    <col min="11800" max="11812" width="0" style="541" hidden="1" customWidth="1"/>
    <col min="11813" max="11813" width="9.375" style="541" bestFit="1" customWidth="1"/>
    <col min="11814" max="11814" width="10.125" style="541" customWidth="1"/>
    <col min="11815" max="11816" width="9.375" style="541" customWidth="1"/>
    <col min="11817" max="11828" width="0" style="541" hidden="1" customWidth="1"/>
    <col min="11829" max="12032" width="9" style="541"/>
    <col min="12033" max="12033" width="3.875" style="541" customWidth="1"/>
    <col min="12034" max="12034" width="16.5" style="541" customWidth="1"/>
    <col min="12035" max="12036" width="10.125" style="541" customWidth="1"/>
    <col min="12037" max="12038" width="9.375" style="541" customWidth="1"/>
    <col min="12039" max="12051" width="0" style="541" hidden="1" customWidth="1"/>
    <col min="12052" max="12052" width="8.375" style="541" bestFit="1" customWidth="1"/>
    <col min="12053" max="12053" width="10.125" style="541" customWidth="1"/>
    <col min="12054" max="12054" width="9.375" style="541" customWidth="1"/>
    <col min="12055" max="12055" width="10" style="541" customWidth="1"/>
    <col min="12056" max="12068" width="0" style="541" hidden="1" customWidth="1"/>
    <col min="12069" max="12069" width="9.375" style="541" bestFit="1" customWidth="1"/>
    <col min="12070" max="12070" width="10.125" style="541" customWidth="1"/>
    <col min="12071" max="12072" width="9.375" style="541" customWidth="1"/>
    <col min="12073" max="12084" width="0" style="541" hidden="1" customWidth="1"/>
    <col min="12085" max="12288" width="9" style="541"/>
    <col min="12289" max="12289" width="3.875" style="541" customWidth="1"/>
    <col min="12290" max="12290" width="16.5" style="541" customWidth="1"/>
    <col min="12291" max="12292" width="10.125" style="541" customWidth="1"/>
    <col min="12293" max="12294" width="9.375" style="541" customWidth="1"/>
    <col min="12295" max="12307" width="0" style="541" hidden="1" customWidth="1"/>
    <col min="12308" max="12308" width="8.375" style="541" bestFit="1" customWidth="1"/>
    <col min="12309" max="12309" width="10.125" style="541" customWidth="1"/>
    <col min="12310" max="12310" width="9.375" style="541" customWidth="1"/>
    <col min="12311" max="12311" width="10" style="541" customWidth="1"/>
    <col min="12312" max="12324" width="0" style="541" hidden="1" customWidth="1"/>
    <col min="12325" max="12325" width="9.375" style="541" bestFit="1" customWidth="1"/>
    <col min="12326" max="12326" width="10.125" style="541" customWidth="1"/>
    <col min="12327" max="12328" width="9.375" style="541" customWidth="1"/>
    <col min="12329" max="12340" width="0" style="541" hidden="1" customWidth="1"/>
    <col min="12341" max="12544" width="9" style="541"/>
    <col min="12545" max="12545" width="3.875" style="541" customWidth="1"/>
    <col min="12546" max="12546" width="16.5" style="541" customWidth="1"/>
    <col min="12547" max="12548" width="10.125" style="541" customWidth="1"/>
    <col min="12549" max="12550" width="9.375" style="541" customWidth="1"/>
    <col min="12551" max="12563" width="0" style="541" hidden="1" customWidth="1"/>
    <col min="12564" max="12564" width="8.375" style="541" bestFit="1" customWidth="1"/>
    <col min="12565" max="12565" width="10.125" style="541" customWidth="1"/>
    <col min="12566" max="12566" width="9.375" style="541" customWidth="1"/>
    <col min="12567" max="12567" width="10" style="541" customWidth="1"/>
    <col min="12568" max="12580" width="0" style="541" hidden="1" customWidth="1"/>
    <col min="12581" max="12581" width="9.375" style="541" bestFit="1" customWidth="1"/>
    <col min="12582" max="12582" width="10.125" style="541" customWidth="1"/>
    <col min="12583" max="12584" width="9.375" style="541" customWidth="1"/>
    <col min="12585" max="12596" width="0" style="541" hidden="1" customWidth="1"/>
    <col min="12597" max="12800" width="9" style="541"/>
    <col min="12801" max="12801" width="3.875" style="541" customWidth="1"/>
    <col min="12802" max="12802" width="16.5" style="541" customWidth="1"/>
    <col min="12803" max="12804" width="10.125" style="541" customWidth="1"/>
    <col min="12805" max="12806" width="9.375" style="541" customWidth="1"/>
    <col min="12807" max="12819" width="0" style="541" hidden="1" customWidth="1"/>
    <col min="12820" max="12820" width="8.375" style="541" bestFit="1" customWidth="1"/>
    <col min="12821" max="12821" width="10.125" style="541" customWidth="1"/>
    <col min="12822" max="12822" width="9.375" style="541" customWidth="1"/>
    <col min="12823" max="12823" width="10" style="541" customWidth="1"/>
    <col min="12824" max="12836" width="0" style="541" hidden="1" customWidth="1"/>
    <col min="12837" max="12837" width="9.375" style="541" bestFit="1" customWidth="1"/>
    <col min="12838" max="12838" width="10.125" style="541" customWidth="1"/>
    <col min="12839" max="12840" width="9.375" style="541" customWidth="1"/>
    <col min="12841" max="12852" width="0" style="541" hidden="1" customWidth="1"/>
    <col min="12853" max="13056" width="9" style="541"/>
    <col min="13057" max="13057" width="3.875" style="541" customWidth="1"/>
    <col min="13058" max="13058" width="16.5" style="541" customWidth="1"/>
    <col min="13059" max="13060" width="10.125" style="541" customWidth="1"/>
    <col min="13061" max="13062" width="9.375" style="541" customWidth="1"/>
    <col min="13063" max="13075" width="0" style="541" hidden="1" customWidth="1"/>
    <col min="13076" max="13076" width="8.375" style="541" bestFit="1" customWidth="1"/>
    <col min="13077" max="13077" width="10.125" style="541" customWidth="1"/>
    <col min="13078" max="13078" width="9.375" style="541" customWidth="1"/>
    <col min="13079" max="13079" width="10" style="541" customWidth="1"/>
    <col min="13080" max="13092" width="0" style="541" hidden="1" customWidth="1"/>
    <col min="13093" max="13093" width="9.375" style="541" bestFit="1" customWidth="1"/>
    <col min="13094" max="13094" width="10.125" style="541" customWidth="1"/>
    <col min="13095" max="13096" width="9.375" style="541" customWidth="1"/>
    <col min="13097" max="13108" width="0" style="541" hidden="1" customWidth="1"/>
    <col min="13109" max="13312" width="9" style="541"/>
    <col min="13313" max="13313" width="3.875" style="541" customWidth="1"/>
    <col min="13314" max="13314" width="16.5" style="541" customWidth="1"/>
    <col min="13315" max="13316" width="10.125" style="541" customWidth="1"/>
    <col min="13317" max="13318" width="9.375" style="541" customWidth="1"/>
    <col min="13319" max="13331" width="0" style="541" hidden="1" customWidth="1"/>
    <col min="13332" max="13332" width="8.375" style="541" bestFit="1" customWidth="1"/>
    <col min="13333" max="13333" width="10.125" style="541" customWidth="1"/>
    <col min="13334" max="13334" width="9.375" style="541" customWidth="1"/>
    <col min="13335" max="13335" width="10" style="541" customWidth="1"/>
    <col min="13336" max="13348" width="0" style="541" hidden="1" customWidth="1"/>
    <col min="13349" max="13349" width="9.375" style="541" bestFit="1" customWidth="1"/>
    <col min="13350" max="13350" width="10.125" style="541" customWidth="1"/>
    <col min="13351" max="13352" width="9.375" style="541" customWidth="1"/>
    <col min="13353" max="13364" width="0" style="541" hidden="1" customWidth="1"/>
    <col min="13365" max="13568" width="9" style="541"/>
    <col min="13569" max="13569" width="3.875" style="541" customWidth="1"/>
    <col min="13570" max="13570" width="16.5" style="541" customWidth="1"/>
    <col min="13571" max="13572" width="10.125" style="541" customWidth="1"/>
    <col min="13573" max="13574" width="9.375" style="541" customWidth="1"/>
    <col min="13575" max="13587" width="0" style="541" hidden="1" customWidth="1"/>
    <col min="13588" max="13588" width="8.375" style="541" bestFit="1" customWidth="1"/>
    <col min="13589" max="13589" width="10.125" style="541" customWidth="1"/>
    <col min="13590" max="13590" width="9.375" style="541" customWidth="1"/>
    <col min="13591" max="13591" width="10" style="541" customWidth="1"/>
    <col min="13592" max="13604" width="0" style="541" hidden="1" customWidth="1"/>
    <col min="13605" max="13605" width="9.375" style="541" bestFit="1" customWidth="1"/>
    <col min="13606" max="13606" width="10.125" style="541" customWidth="1"/>
    <col min="13607" max="13608" width="9.375" style="541" customWidth="1"/>
    <col min="13609" max="13620" width="0" style="541" hidden="1" customWidth="1"/>
    <col min="13621" max="13824" width="9" style="541"/>
    <col min="13825" max="13825" width="3.875" style="541" customWidth="1"/>
    <col min="13826" max="13826" width="16.5" style="541" customWidth="1"/>
    <col min="13827" max="13828" width="10.125" style="541" customWidth="1"/>
    <col min="13829" max="13830" width="9.375" style="541" customWidth="1"/>
    <col min="13831" max="13843" width="0" style="541" hidden="1" customWidth="1"/>
    <col min="13844" max="13844" width="8.375" style="541" bestFit="1" customWidth="1"/>
    <col min="13845" max="13845" width="10.125" style="541" customWidth="1"/>
    <col min="13846" max="13846" width="9.375" style="541" customWidth="1"/>
    <col min="13847" max="13847" width="10" style="541" customWidth="1"/>
    <col min="13848" max="13860" width="0" style="541" hidden="1" customWidth="1"/>
    <col min="13861" max="13861" width="9.375" style="541" bestFit="1" customWidth="1"/>
    <col min="13862" max="13862" width="10.125" style="541" customWidth="1"/>
    <col min="13863" max="13864" width="9.375" style="541" customWidth="1"/>
    <col min="13865" max="13876" width="0" style="541" hidden="1" customWidth="1"/>
    <col min="13877" max="14080" width="9" style="541"/>
    <col min="14081" max="14081" width="3.875" style="541" customWidth="1"/>
    <col min="14082" max="14082" width="16.5" style="541" customWidth="1"/>
    <col min="14083" max="14084" width="10.125" style="541" customWidth="1"/>
    <col min="14085" max="14086" width="9.375" style="541" customWidth="1"/>
    <col min="14087" max="14099" width="0" style="541" hidden="1" customWidth="1"/>
    <col min="14100" max="14100" width="8.375" style="541" bestFit="1" customWidth="1"/>
    <col min="14101" max="14101" width="10.125" style="541" customWidth="1"/>
    <col min="14102" max="14102" width="9.375" style="541" customWidth="1"/>
    <col min="14103" max="14103" width="10" style="541" customWidth="1"/>
    <col min="14104" max="14116" width="0" style="541" hidden="1" customWidth="1"/>
    <col min="14117" max="14117" width="9.375" style="541" bestFit="1" customWidth="1"/>
    <col min="14118" max="14118" width="10.125" style="541" customWidth="1"/>
    <col min="14119" max="14120" width="9.375" style="541" customWidth="1"/>
    <col min="14121" max="14132" width="0" style="541" hidden="1" customWidth="1"/>
    <col min="14133" max="14336" width="9" style="541"/>
    <col min="14337" max="14337" width="3.875" style="541" customWidth="1"/>
    <col min="14338" max="14338" width="16.5" style="541" customWidth="1"/>
    <col min="14339" max="14340" width="10.125" style="541" customWidth="1"/>
    <col min="14341" max="14342" width="9.375" style="541" customWidth="1"/>
    <col min="14343" max="14355" width="0" style="541" hidden="1" customWidth="1"/>
    <col min="14356" max="14356" width="8.375" style="541" bestFit="1" customWidth="1"/>
    <col min="14357" max="14357" width="10.125" style="541" customWidth="1"/>
    <col min="14358" max="14358" width="9.375" style="541" customWidth="1"/>
    <col min="14359" max="14359" width="10" style="541" customWidth="1"/>
    <col min="14360" max="14372" width="0" style="541" hidden="1" customWidth="1"/>
    <col min="14373" max="14373" width="9.375" style="541" bestFit="1" customWidth="1"/>
    <col min="14374" max="14374" width="10.125" style="541" customWidth="1"/>
    <col min="14375" max="14376" width="9.375" style="541" customWidth="1"/>
    <col min="14377" max="14388" width="0" style="541" hidden="1" customWidth="1"/>
    <col min="14389" max="14592" width="9" style="541"/>
    <col min="14593" max="14593" width="3.875" style="541" customWidth="1"/>
    <col min="14594" max="14594" width="16.5" style="541" customWidth="1"/>
    <col min="14595" max="14596" width="10.125" style="541" customWidth="1"/>
    <col min="14597" max="14598" width="9.375" style="541" customWidth="1"/>
    <col min="14599" max="14611" width="0" style="541" hidden="1" customWidth="1"/>
    <col min="14612" max="14612" width="8.375" style="541" bestFit="1" customWidth="1"/>
    <col min="14613" max="14613" width="10.125" style="541" customWidth="1"/>
    <col min="14614" max="14614" width="9.375" style="541" customWidth="1"/>
    <col min="14615" max="14615" width="10" style="541" customWidth="1"/>
    <col min="14616" max="14628" width="0" style="541" hidden="1" customWidth="1"/>
    <col min="14629" max="14629" width="9.375" style="541" bestFit="1" customWidth="1"/>
    <col min="14630" max="14630" width="10.125" style="541" customWidth="1"/>
    <col min="14631" max="14632" width="9.375" style="541" customWidth="1"/>
    <col min="14633" max="14644" width="0" style="541" hidden="1" customWidth="1"/>
    <col min="14645" max="14848" width="9" style="541"/>
    <col min="14849" max="14849" width="3.875" style="541" customWidth="1"/>
    <col min="14850" max="14850" width="16.5" style="541" customWidth="1"/>
    <col min="14851" max="14852" width="10.125" style="541" customWidth="1"/>
    <col min="14853" max="14854" width="9.375" style="541" customWidth="1"/>
    <col min="14855" max="14867" width="0" style="541" hidden="1" customWidth="1"/>
    <col min="14868" max="14868" width="8.375" style="541" bestFit="1" customWidth="1"/>
    <col min="14869" max="14869" width="10.125" style="541" customWidth="1"/>
    <col min="14870" max="14870" width="9.375" style="541" customWidth="1"/>
    <col min="14871" max="14871" width="10" style="541" customWidth="1"/>
    <col min="14872" max="14884" width="0" style="541" hidden="1" customWidth="1"/>
    <col min="14885" max="14885" width="9.375" style="541" bestFit="1" customWidth="1"/>
    <col min="14886" max="14886" width="10.125" style="541" customWidth="1"/>
    <col min="14887" max="14888" width="9.375" style="541" customWidth="1"/>
    <col min="14889" max="14900" width="0" style="541" hidden="1" customWidth="1"/>
    <col min="14901" max="15104" width="9" style="541"/>
    <col min="15105" max="15105" width="3.875" style="541" customWidth="1"/>
    <col min="15106" max="15106" width="16.5" style="541" customWidth="1"/>
    <col min="15107" max="15108" width="10.125" style="541" customWidth="1"/>
    <col min="15109" max="15110" width="9.375" style="541" customWidth="1"/>
    <col min="15111" max="15123" width="0" style="541" hidden="1" customWidth="1"/>
    <col min="15124" max="15124" width="8.375" style="541" bestFit="1" customWidth="1"/>
    <col min="15125" max="15125" width="10.125" style="541" customWidth="1"/>
    <col min="15126" max="15126" width="9.375" style="541" customWidth="1"/>
    <col min="15127" max="15127" width="10" style="541" customWidth="1"/>
    <col min="15128" max="15140" width="0" style="541" hidden="1" customWidth="1"/>
    <col min="15141" max="15141" width="9.375" style="541" bestFit="1" customWidth="1"/>
    <col min="15142" max="15142" width="10.125" style="541" customWidth="1"/>
    <col min="15143" max="15144" width="9.375" style="541" customWidth="1"/>
    <col min="15145" max="15156" width="0" style="541" hidden="1" customWidth="1"/>
    <col min="15157" max="15360" width="9" style="541"/>
    <col min="15361" max="15361" width="3.875" style="541" customWidth="1"/>
    <col min="15362" max="15362" width="16.5" style="541" customWidth="1"/>
    <col min="15363" max="15364" width="10.125" style="541" customWidth="1"/>
    <col min="15365" max="15366" width="9.375" style="541" customWidth="1"/>
    <col min="15367" max="15379" width="0" style="541" hidden="1" customWidth="1"/>
    <col min="15380" max="15380" width="8.375" style="541" bestFit="1" customWidth="1"/>
    <col min="15381" max="15381" width="10.125" style="541" customWidth="1"/>
    <col min="15382" max="15382" width="9.375" style="541" customWidth="1"/>
    <col min="15383" max="15383" width="10" style="541" customWidth="1"/>
    <col min="15384" max="15396" width="0" style="541" hidden="1" customWidth="1"/>
    <col min="15397" max="15397" width="9.375" style="541" bestFit="1" customWidth="1"/>
    <col min="15398" max="15398" width="10.125" style="541" customWidth="1"/>
    <col min="15399" max="15400" width="9.375" style="541" customWidth="1"/>
    <col min="15401" max="15412" width="0" style="541" hidden="1" customWidth="1"/>
    <col min="15413" max="15616" width="9" style="541"/>
    <col min="15617" max="15617" width="3.875" style="541" customWidth="1"/>
    <col min="15618" max="15618" width="16.5" style="541" customWidth="1"/>
    <col min="15619" max="15620" width="10.125" style="541" customWidth="1"/>
    <col min="15621" max="15622" width="9.375" style="541" customWidth="1"/>
    <col min="15623" max="15635" width="0" style="541" hidden="1" customWidth="1"/>
    <col min="15636" max="15636" width="8.375" style="541" bestFit="1" customWidth="1"/>
    <col min="15637" max="15637" width="10.125" style="541" customWidth="1"/>
    <col min="15638" max="15638" width="9.375" style="541" customWidth="1"/>
    <col min="15639" max="15639" width="10" style="541" customWidth="1"/>
    <col min="15640" max="15652" width="0" style="541" hidden="1" customWidth="1"/>
    <col min="15653" max="15653" width="9.375" style="541" bestFit="1" customWidth="1"/>
    <col min="15654" max="15654" width="10.125" style="541" customWidth="1"/>
    <col min="15655" max="15656" width="9.375" style="541" customWidth="1"/>
    <col min="15657" max="15668" width="0" style="541" hidden="1" customWidth="1"/>
    <col min="15669" max="15872" width="9" style="541"/>
    <col min="15873" max="15873" width="3.875" style="541" customWidth="1"/>
    <col min="15874" max="15874" width="16.5" style="541" customWidth="1"/>
    <col min="15875" max="15876" width="10.125" style="541" customWidth="1"/>
    <col min="15877" max="15878" width="9.375" style="541" customWidth="1"/>
    <col min="15879" max="15891" width="0" style="541" hidden="1" customWidth="1"/>
    <col min="15892" max="15892" width="8.375" style="541" bestFit="1" customWidth="1"/>
    <col min="15893" max="15893" width="10.125" style="541" customWidth="1"/>
    <col min="15894" max="15894" width="9.375" style="541" customWidth="1"/>
    <col min="15895" max="15895" width="10" style="541" customWidth="1"/>
    <col min="15896" max="15908" width="0" style="541" hidden="1" customWidth="1"/>
    <col min="15909" max="15909" width="9.375" style="541" bestFit="1" customWidth="1"/>
    <col min="15910" max="15910" width="10.125" style="541" customWidth="1"/>
    <col min="15911" max="15912" width="9.375" style="541" customWidth="1"/>
    <col min="15913" max="15924" width="0" style="541" hidden="1" customWidth="1"/>
    <col min="15925" max="16128" width="9" style="541"/>
    <col min="16129" max="16129" width="3.875" style="541" customWidth="1"/>
    <col min="16130" max="16130" width="16.5" style="541" customWidth="1"/>
    <col min="16131" max="16132" width="10.125" style="541" customWidth="1"/>
    <col min="16133" max="16134" width="9.375" style="541" customWidth="1"/>
    <col min="16135" max="16147" width="0" style="541" hidden="1" customWidth="1"/>
    <col min="16148" max="16148" width="8.375" style="541" bestFit="1" customWidth="1"/>
    <col min="16149" max="16149" width="10.125" style="541" customWidth="1"/>
    <col min="16150" max="16150" width="9.375" style="541" customWidth="1"/>
    <col min="16151" max="16151" width="10" style="541" customWidth="1"/>
    <col min="16152" max="16164" width="0" style="541" hidden="1" customWidth="1"/>
    <col min="16165" max="16165" width="9.375" style="541" bestFit="1" customWidth="1"/>
    <col min="16166" max="16166" width="10.125" style="541" customWidth="1"/>
    <col min="16167" max="16168" width="9.375" style="541" customWidth="1"/>
    <col min="16169" max="16180" width="0" style="541" hidden="1" customWidth="1"/>
    <col min="16181" max="16384" width="9" style="541"/>
  </cols>
  <sheetData>
    <row r="1" spans="1:52" x14ac:dyDescent="0.25">
      <c r="A1" s="676"/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</row>
    <row r="2" spans="1:52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</row>
    <row r="3" spans="1:52" s="544" customFormat="1" ht="27" customHeight="1" x14ac:dyDescent="0.2">
      <c r="A3" s="684" t="s">
        <v>9</v>
      </c>
      <c r="B3" s="684" t="s">
        <v>292</v>
      </c>
      <c r="C3" s="684" t="s">
        <v>331</v>
      </c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  <c r="AM3" s="684"/>
      <c r="AN3" s="684"/>
      <c r="AO3" s="684"/>
      <c r="AP3" s="684"/>
      <c r="AQ3" s="684"/>
      <c r="AR3" s="684"/>
      <c r="AS3" s="684"/>
      <c r="AT3" s="684"/>
      <c r="AU3" s="684"/>
      <c r="AV3" s="684"/>
      <c r="AW3" s="684"/>
      <c r="AX3" s="684"/>
      <c r="AY3" s="684"/>
      <c r="AZ3" s="684"/>
    </row>
    <row r="4" spans="1:52" s="544" customFormat="1" ht="26.25" customHeight="1" x14ac:dyDescent="0.2">
      <c r="A4" s="684"/>
      <c r="B4" s="684"/>
      <c r="C4" s="685" t="s">
        <v>332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 t="s">
        <v>333</v>
      </c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 t="s">
        <v>334</v>
      </c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</row>
    <row r="5" spans="1:52" s="544" customFormat="1" ht="14.25" x14ac:dyDescent="0.2">
      <c r="A5" s="684"/>
      <c r="B5" s="684"/>
      <c r="C5" s="685" t="s">
        <v>306</v>
      </c>
      <c r="D5" s="685" t="s">
        <v>308</v>
      </c>
      <c r="E5" s="685" t="s">
        <v>309</v>
      </c>
      <c r="F5" s="685" t="s">
        <v>310</v>
      </c>
      <c r="G5" s="685" t="s">
        <v>311</v>
      </c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7" t="s">
        <v>77</v>
      </c>
      <c r="T5" s="685" t="s">
        <v>306</v>
      </c>
      <c r="U5" s="685" t="s">
        <v>308</v>
      </c>
      <c r="V5" s="685" t="s">
        <v>309</v>
      </c>
      <c r="W5" s="685" t="s">
        <v>310</v>
      </c>
      <c r="X5" s="685" t="s">
        <v>311</v>
      </c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7" t="s">
        <v>77</v>
      </c>
      <c r="AK5" s="685" t="s">
        <v>306</v>
      </c>
      <c r="AL5" s="685" t="s">
        <v>308</v>
      </c>
      <c r="AM5" s="685" t="s">
        <v>309</v>
      </c>
      <c r="AN5" s="685" t="s">
        <v>310</v>
      </c>
      <c r="AO5" s="685" t="s">
        <v>311</v>
      </c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</row>
    <row r="6" spans="1:52" s="544" customFormat="1" ht="30.75" customHeight="1" x14ac:dyDescent="0.2">
      <c r="A6" s="684"/>
      <c r="B6" s="684"/>
      <c r="C6" s="685"/>
      <c r="D6" s="685"/>
      <c r="E6" s="685"/>
      <c r="F6" s="685"/>
      <c r="G6" s="545" t="s">
        <v>38</v>
      </c>
      <c r="H6" s="545" t="s">
        <v>41</v>
      </c>
      <c r="I6" s="545" t="s">
        <v>40</v>
      </c>
      <c r="J6" s="545" t="s">
        <v>43</v>
      </c>
      <c r="K6" s="545" t="s">
        <v>45</v>
      </c>
      <c r="L6" s="545" t="s">
        <v>47</v>
      </c>
      <c r="M6" s="545" t="s">
        <v>49</v>
      </c>
      <c r="N6" s="545" t="s">
        <v>50</v>
      </c>
      <c r="O6" s="545" t="s">
        <v>51</v>
      </c>
      <c r="P6" s="545" t="s">
        <v>52</v>
      </c>
      <c r="Q6" s="545" t="s">
        <v>53</v>
      </c>
      <c r="R6" s="545" t="s">
        <v>54</v>
      </c>
      <c r="S6" s="687"/>
      <c r="T6" s="685"/>
      <c r="U6" s="685"/>
      <c r="V6" s="685"/>
      <c r="W6" s="685"/>
      <c r="X6" s="545" t="s">
        <v>38</v>
      </c>
      <c r="Y6" s="545" t="s">
        <v>41</v>
      </c>
      <c r="Z6" s="545" t="s">
        <v>40</v>
      </c>
      <c r="AA6" s="545" t="s">
        <v>43</v>
      </c>
      <c r="AB6" s="545" t="s">
        <v>45</v>
      </c>
      <c r="AC6" s="545" t="s">
        <v>47</v>
      </c>
      <c r="AD6" s="545" t="s">
        <v>49</v>
      </c>
      <c r="AE6" s="545" t="s">
        <v>50</v>
      </c>
      <c r="AF6" s="545" t="s">
        <v>51</v>
      </c>
      <c r="AG6" s="545" t="s">
        <v>52</v>
      </c>
      <c r="AH6" s="545" t="s">
        <v>53</v>
      </c>
      <c r="AI6" s="545" t="s">
        <v>54</v>
      </c>
      <c r="AJ6" s="687"/>
      <c r="AK6" s="685"/>
      <c r="AL6" s="685"/>
      <c r="AM6" s="685"/>
      <c r="AN6" s="685"/>
      <c r="AO6" s="545" t="s">
        <v>38</v>
      </c>
      <c r="AP6" s="545" t="s">
        <v>41</v>
      </c>
      <c r="AQ6" s="545" t="s">
        <v>40</v>
      </c>
      <c r="AR6" s="545" t="s">
        <v>43</v>
      </c>
      <c r="AS6" s="545" t="s">
        <v>45</v>
      </c>
      <c r="AT6" s="545" t="s">
        <v>47</v>
      </c>
      <c r="AU6" s="545" t="s">
        <v>49</v>
      </c>
      <c r="AV6" s="545" t="s">
        <v>50</v>
      </c>
      <c r="AW6" s="545" t="s">
        <v>51</v>
      </c>
      <c r="AX6" s="545" t="s">
        <v>52</v>
      </c>
      <c r="AY6" s="545" t="s">
        <v>53</v>
      </c>
      <c r="AZ6" s="545" t="s">
        <v>54</v>
      </c>
    </row>
    <row r="7" spans="1:52" s="602" customFormat="1" ht="24" customHeight="1" x14ac:dyDescent="0.35">
      <c r="A7" s="574"/>
      <c r="B7" s="574" t="s">
        <v>312</v>
      </c>
      <c r="C7" s="574">
        <f>C8+C13</f>
        <v>118300</v>
      </c>
      <c r="D7" s="574">
        <f t="shared" ref="D7:AZ7" si="0">D8+D13</f>
        <v>54518</v>
      </c>
      <c r="E7" s="574">
        <f t="shared" si="0"/>
        <v>42047</v>
      </c>
      <c r="F7" s="574">
        <f>E7/C7%</f>
        <v>35.54268808114962</v>
      </c>
      <c r="G7" s="574">
        <f t="shared" si="0"/>
        <v>6083</v>
      </c>
      <c r="H7" s="574">
        <f t="shared" si="0"/>
        <v>4842</v>
      </c>
      <c r="I7" s="574">
        <f t="shared" si="0"/>
        <v>7781</v>
      </c>
      <c r="J7" s="574">
        <f t="shared" si="0"/>
        <v>7226</v>
      </c>
      <c r="K7" s="574">
        <f t="shared" si="0"/>
        <v>8015</v>
      </c>
      <c r="L7" s="574">
        <f t="shared" si="0"/>
        <v>8100</v>
      </c>
      <c r="M7" s="574">
        <f t="shared" si="0"/>
        <v>0</v>
      </c>
      <c r="N7" s="574">
        <f t="shared" si="0"/>
        <v>0</v>
      </c>
      <c r="O7" s="574">
        <f t="shared" si="0"/>
        <v>0</v>
      </c>
      <c r="P7" s="574">
        <f t="shared" si="0"/>
        <v>0</v>
      </c>
      <c r="Q7" s="574">
        <f t="shared" si="0"/>
        <v>0</v>
      </c>
      <c r="R7" s="574">
        <f t="shared" si="0"/>
        <v>0</v>
      </c>
      <c r="S7" s="574">
        <f t="shared" si="0"/>
        <v>0</v>
      </c>
      <c r="T7" s="574">
        <f t="shared" si="0"/>
        <v>15610</v>
      </c>
      <c r="U7" s="574">
        <f t="shared" si="0"/>
        <v>7736</v>
      </c>
      <c r="V7" s="574">
        <f t="shared" si="0"/>
        <v>5152</v>
      </c>
      <c r="W7" s="574">
        <f>V7/T7%</f>
        <v>33.004484304932738</v>
      </c>
      <c r="X7" s="574">
        <f t="shared" si="0"/>
        <v>696</v>
      </c>
      <c r="Y7" s="574">
        <f t="shared" si="0"/>
        <v>606</v>
      </c>
      <c r="Z7" s="574">
        <f t="shared" si="0"/>
        <v>798</v>
      </c>
      <c r="AA7" s="574">
        <f t="shared" si="0"/>
        <v>822</v>
      </c>
      <c r="AB7" s="574">
        <f t="shared" si="0"/>
        <v>1003</v>
      </c>
      <c r="AC7" s="574">
        <f t="shared" si="0"/>
        <v>1227</v>
      </c>
      <c r="AD7" s="574">
        <f t="shared" si="0"/>
        <v>0</v>
      </c>
      <c r="AE7" s="574">
        <f t="shared" si="0"/>
        <v>0</v>
      </c>
      <c r="AF7" s="574">
        <f t="shared" si="0"/>
        <v>0</v>
      </c>
      <c r="AG7" s="574">
        <f t="shared" si="0"/>
        <v>0</v>
      </c>
      <c r="AH7" s="574">
        <f t="shared" si="0"/>
        <v>0</v>
      </c>
      <c r="AI7" s="574">
        <f t="shared" si="0"/>
        <v>0</v>
      </c>
      <c r="AJ7" s="574">
        <f t="shared" si="0"/>
        <v>0</v>
      </c>
      <c r="AK7" s="574">
        <f t="shared" si="0"/>
        <v>80510</v>
      </c>
      <c r="AL7" s="574">
        <f>AL8+AL13</f>
        <v>38121</v>
      </c>
      <c r="AM7" s="574">
        <f t="shared" si="0"/>
        <v>28181</v>
      </c>
      <c r="AN7" s="574">
        <f>AM7/AK7%</f>
        <v>35.003105204322445</v>
      </c>
      <c r="AO7" s="574">
        <f t="shared" si="0"/>
        <v>4939</v>
      </c>
      <c r="AP7" s="574">
        <f t="shared" si="0"/>
        <v>3618</v>
      </c>
      <c r="AQ7" s="574">
        <f t="shared" si="0"/>
        <v>5574</v>
      </c>
      <c r="AR7" s="574">
        <f t="shared" si="0"/>
        <v>4729</v>
      </c>
      <c r="AS7" s="574">
        <f t="shared" si="0"/>
        <v>4708</v>
      </c>
      <c r="AT7" s="574">
        <f t="shared" si="0"/>
        <v>4591</v>
      </c>
      <c r="AU7" s="574">
        <f t="shared" si="0"/>
        <v>0</v>
      </c>
      <c r="AV7" s="574">
        <f t="shared" si="0"/>
        <v>0</v>
      </c>
      <c r="AW7" s="574">
        <f t="shared" si="0"/>
        <v>0</v>
      </c>
      <c r="AX7" s="574">
        <f t="shared" si="0"/>
        <v>0</v>
      </c>
      <c r="AY7" s="574">
        <f t="shared" si="0"/>
        <v>0</v>
      </c>
      <c r="AZ7" s="574">
        <f t="shared" si="0"/>
        <v>0</v>
      </c>
    </row>
    <row r="8" spans="1:52" s="602" customFormat="1" ht="24" customHeight="1" x14ac:dyDescent="0.35">
      <c r="A8" s="574" t="s">
        <v>12</v>
      </c>
      <c r="B8" s="575" t="s">
        <v>313</v>
      </c>
      <c r="C8" s="574">
        <f>SUM(C9:C12)</f>
        <v>11700</v>
      </c>
      <c r="D8" s="574">
        <f t="shared" ref="D8:AS8" si="1">SUM(D9:D12)</f>
        <v>6473</v>
      </c>
      <c r="E8" s="574">
        <f t="shared" si="1"/>
        <v>5227</v>
      </c>
      <c r="F8" s="574">
        <f t="shared" ref="F8:F21" si="2">E8/C8%</f>
        <v>44.675213675213676</v>
      </c>
      <c r="G8" s="574">
        <f t="shared" si="1"/>
        <v>709</v>
      </c>
      <c r="H8" s="574">
        <f t="shared" si="1"/>
        <v>723</v>
      </c>
      <c r="I8" s="574">
        <f t="shared" si="1"/>
        <v>713</v>
      </c>
      <c r="J8" s="574">
        <f t="shared" si="1"/>
        <v>942</v>
      </c>
      <c r="K8" s="574">
        <f t="shared" si="1"/>
        <v>917</v>
      </c>
      <c r="L8" s="574">
        <f t="shared" si="1"/>
        <v>1223</v>
      </c>
      <c r="M8" s="574">
        <f t="shared" si="1"/>
        <v>0</v>
      </c>
      <c r="N8" s="574">
        <f t="shared" si="1"/>
        <v>0</v>
      </c>
      <c r="O8" s="574">
        <f t="shared" si="1"/>
        <v>0</v>
      </c>
      <c r="P8" s="574">
        <f t="shared" si="1"/>
        <v>0</v>
      </c>
      <c r="Q8" s="574">
        <f t="shared" si="1"/>
        <v>0</v>
      </c>
      <c r="R8" s="574">
        <f t="shared" si="1"/>
        <v>0</v>
      </c>
      <c r="S8" s="574">
        <f t="shared" si="1"/>
        <v>0</v>
      </c>
      <c r="T8" s="574">
        <f t="shared" si="1"/>
        <v>4710</v>
      </c>
      <c r="U8" s="574">
        <f t="shared" si="1"/>
        <v>2449</v>
      </c>
      <c r="V8" s="574">
        <f t="shared" si="1"/>
        <v>1867</v>
      </c>
      <c r="W8" s="574">
        <f t="shared" ref="W8:W21" si="3">V8/T8%</f>
        <v>39.639065817409765</v>
      </c>
      <c r="X8" s="574">
        <f t="shared" si="1"/>
        <v>207</v>
      </c>
      <c r="Y8" s="574">
        <f t="shared" si="1"/>
        <v>209</v>
      </c>
      <c r="Z8" s="574">
        <f t="shared" si="1"/>
        <v>217</v>
      </c>
      <c r="AA8" s="574">
        <f t="shared" si="1"/>
        <v>309</v>
      </c>
      <c r="AB8" s="574">
        <f t="shared" si="1"/>
        <v>384</v>
      </c>
      <c r="AC8" s="574">
        <f t="shared" si="1"/>
        <v>541</v>
      </c>
      <c r="AD8" s="574">
        <f t="shared" si="1"/>
        <v>0</v>
      </c>
      <c r="AE8" s="574">
        <f t="shared" si="1"/>
        <v>0</v>
      </c>
      <c r="AF8" s="574">
        <f t="shared" si="1"/>
        <v>0</v>
      </c>
      <c r="AG8" s="574">
        <f t="shared" si="1"/>
        <v>0</v>
      </c>
      <c r="AH8" s="574">
        <f t="shared" si="1"/>
        <v>0</v>
      </c>
      <c r="AI8" s="574">
        <f t="shared" si="1"/>
        <v>0</v>
      </c>
      <c r="AJ8" s="574">
        <f t="shared" si="1"/>
        <v>0</v>
      </c>
      <c r="AK8" s="574">
        <f t="shared" si="1"/>
        <v>6710</v>
      </c>
      <c r="AL8" s="574">
        <f>SUM(AL9:AL12)</f>
        <v>3953</v>
      </c>
      <c r="AM8" s="574">
        <f t="shared" si="1"/>
        <v>3349</v>
      </c>
      <c r="AN8" s="574">
        <f t="shared" ref="AN8:AN21" si="4">AM8/AK8%</f>
        <v>49.910581222056635</v>
      </c>
      <c r="AO8" s="574">
        <f t="shared" si="1"/>
        <v>495</v>
      </c>
      <c r="AP8" s="574">
        <f t="shared" si="1"/>
        <v>512</v>
      </c>
      <c r="AQ8" s="574">
        <f t="shared" si="1"/>
        <v>496</v>
      </c>
      <c r="AR8" s="574">
        <f t="shared" si="1"/>
        <v>633</v>
      </c>
      <c r="AS8" s="574">
        <f t="shared" si="1"/>
        <v>532</v>
      </c>
      <c r="AT8" s="574">
        <f t="shared" ref="AT8:AZ8" si="5">SUM(AT9:AT11)</f>
        <v>659</v>
      </c>
      <c r="AU8" s="574">
        <f t="shared" si="5"/>
        <v>0</v>
      </c>
      <c r="AV8" s="574">
        <f t="shared" si="5"/>
        <v>0</v>
      </c>
      <c r="AW8" s="574">
        <f t="shared" si="5"/>
        <v>0</v>
      </c>
      <c r="AX8" s="574">
        <f t="shared" si="5"/>
        <v>0</v>
      </c>
      <c r="AY8" s="574">
        <f t="shared" si="5"/>
        <v>0</v>
      </c>
      <c r="AZ8" s="574">
        <f t="shared" si="5"/>
        <v>0</v>
      </c>
    </row>
    <row r="9" spans="1:52" ht="24" customHeight="1" x14ac:dyDescent="0.25">
      <c r="A9" s="592">
        <v>1</v>
      </c>
      <c r="B9" s="593" t="s">
        <v>314</v>
      </c>
      <c r="C9" s="592">
        <v>11050</v>
      </c>
      <c r="D9" s="606">
        <v>6066</v>
      </c>
      <c r="E9" s="592">
        <f>SUM(G9:R9)</f>
        <v>5040</v>
      </c>
      <c r="F9" s="592">
        <f>E9/C9*100</f>
        <v>45.610859728506789</v>
      </c>
      <c r="G9" s="560">
        <v>680</v>
      </c>
      <c r="H9" s="560">
        <v>702</v>
      </c>
      <c r="I9" s="560">
        <v>692</v>
      </c>
      <c r="J9" s="560">
        <v>901</v>
      </c>
      <c r="K9" s="560">
        <v>881</v>
      </c>
      <c r="L9" s="560">
        <v>1184</v>
      </c>
      <c r="M9" s="560"/>
      <c r="N9" s="560"/>
      <c r="O9" s="560"/>
      <c r="P9" s="560"/>
      <c r="Q9" s="560"/>
      <c r="R9" s="560"/>
      <c r="S9" s="605"/>
      <c r="T9" s="592">
        <v>4500</v>
      </c>
      <c r="U9" s="606">
        <v>2375</v>
      </c>
      <c r="V9" s="592">
        <f>SUM(X9:AI9)</f>
        <v>1832</v>
      </c>
      <c r="W9" s="592">
        <f>V9/T9*100</f>
        <v>40.711111111111109</v>
      </c>
      <c r="X9" s="560">
        <v>202</v>
      </c>
      <c r="Y9" s="560">
        <v>205</v>
      </c>
      <c r="Z9" s="560">
        <v>216</v>
      </c>
      <c r="AA9" s="560">
        <v>301</v>
      </c>
      <c r="AB9" s="560">
        <v>375</v>
      </c>
      <c r="AC9" s="560">
        <v>533</v>
      </c>
      <c r="AD9" s="560"/>
      <c r="AE9" s="560"/>
      <c r="AF9" s="560"/>
      <c r="AG9" s="560"/>
      <c r="AH9" s="560"/>
      <c r="AI9" s="560"/>
      <c r="AJ9" s="605"/>
      <c r="AK9" s="592">
        <v>6400</v>
      </c>
      <c r="AL9" s="606">
        <v>3691</v>
      </c>
      <c r="AM9" s="592">
        <f>SUM(AO9:AZ9)</f>
        <v>3208</v>
      </c>
      <c r="AN9" s="592">
        <f>AM9/AK9*100</f>
        <v>50.125</v>
      </c>
      <c r="AO9" s="560">
        <v>478</v>
      </c>
      <c r="AP9" s="560">
        <v>497</v>
      </c>
      <c r="AQ9" s="560">
        <v>476</v>
      </c>
      <c r="AR9" s="560">
        <v>600</v>
      </c>
      <c r="AS9" s="560">
        <v>506</v>
      </c>
      <c r="AT9" s="560">
        <v>651</v>
      </c>
      <c r="AU9" s="560"/>
      <c r="AV9" s="560"/>
      <c r="AW9" s="560"/>
      <c r="AX9" s="560"/>
      <c r="AY9" s="560"/>
      <c r="AZ9" s="560"/>
    </row>
    <row r="10" spans="1:52" ht="24" customHeight="1" x14ac:dyDescent="0.25">
      <c r="A10" s="592">
        <v>2</v>
      </c>
      <c r="B10" s="593" t="s">
        <v>315</v>
      </c>
      <c r="C10" s="592">
        <v>300</v>
      </c>
      <c r="D10" s="606">
        <v>200</v>
      </c>
      <c r="E10" s="592">
        <f>SUM(G10:R10)</f>
        <v>70</v>
      </c>
      <c r="F10" s="592">
        <f t="shared" si="2"/>
        <v>23.333333333333332</v>
      </c>
      <c r="G10" s="560">
        <v>11</v>
      </c>
      <c r="H10" s="560">
        <v>8</v>
      </c>
      <c r="I10" s="560">
        <v>1</v>
      </c>
      <c r="J10" s="560">
        <v>22</v>
      </c>
      <c r="K10" s="560">
        <v>12</v>
      </c>
      <c r="L10" s="560">
        <v>16</v>
      </c>
      <c r="M10" s="560"/>
      <c r="N10" s="560"/>
      <c r="O10" s="560"/>
      <c r="P10" s="560"/>
      <c r="Q10" s="560"/>
      <c r="R10" s="560"/>
      <c r="S10" s="605"/>
      <c r="T10" s="592">
        <v>200</v>
      </c>
      <c r="U10" s="606">
        <v>70</v>
      </c>
      <c r="V10" s="592">
        <f>SUM(X10:AI10)</f>
        <v>26</v>
      </c>
      <c r="W10" s="592">
        <f t="shared" si="3"/>
        <v>13</v>
      </c>
      <c r="X10" s="560">
        <v>3</v>
      </c>
      <c r="Y10" s="560">
        <v>2</v>
      </c>
      <c r="Z10" s="560">
        <v>0</v>
      </c>
      <c r="AA10" s="560">
        <v>7</v>
      </c>
      <c r="AB10" s="560">
        <v>6</v>
      </c>
      <c r="AC10" s="560">
        <v>8</v>
      </c>
      <c r="AD10" s="560"/>
      <c r="AE10" s="560"/>
      <c r="AF10" s="560"/>
      <c r="AG10" s="560"/>
      <c r="AH10" s="560"/>
      <c r="AI10" s="560"/>
      <c r="AJ10" s="605"/>
      <c r="AK10" s="592">
        <v>50</v>
      </c>
      <c r="AL10" s="606">
        <v>130</v>
      </c>
      <c r="AM10" s="592">
        <f>SUM(AO10:AZ10)</f>
        <v>44</v>
      </c>
      <c r="AN10" s="592">
        <f t="shared" si="4"/>
        <v>88</v>
      </c>
      <c r="AO10" s="560">
        <v>8</v>
      </c>
      <c r="AP10" s="560">
        <v>6</v>
      </c>
      <c r="AQ10" s="560">
        <v>1</v>
      </c>
      <c r="AR10" s="560">
        <v>15</v>
      </c>
      <c r="AS10" s="560">
        <v>6</v>
      </c>
      <c r="AT10" s="560">
        <v>8</v>
      </c>
      <c r="AU10" s="560"/>
      <c r="AV10" s="560"/>
      <c r="AW10" s="560"/>
      <c r="AX10" s="560"/>
      <c r="AY10" s="560"/>
      <c r="AZ10" s="560"/>
    </row>
    <row r="11" spans="1:52" ht="24" customHeight="1" x14ac:dyDescent="0.25">
      <c r="A11" s="592">
        <v>3</v>
      </c>
      <c r="B11" s="593" t="s">
        <v>316</v>
      </c>
      <c r="C11" s="592">
        <v>50</v>
      </c>
      <c r="D11" s="606">
        <v>12</v>
      </c>
      <c r="E11" s="592">
        <f>SUM(G11:R11)</f>
        <v>14</v>
      </c>
      <c r="F11" s="592">
        <f t="shared" si="2"/>
        <v>28</v>
      </c>
      <c r="G11" s="560">
        <v>2</v>
      </c>
      <c r="H11" s="560">
        <v>2</v>
      </c>
      <c r="I11" s="560">
        <v>2</v>
      </c>
      <c r="J11" s="560">
        <v>3</v>
      </c>
      <c r="K11" s="560">
        <v>5</v>
      </c>
      <c r="L11" s="560">
        <v>0</v>
      </c>
      <c r="M11" s="560"/>
      <c r="N11" s="560"/>
      <c r="O11" s="560"/>
      <c r="P11" s="560"/>
      <c r="Q11" s="560"/>
      <c r="R11" s="560"/>
      <c r="S11" s="605"/>
      <c r="T11" s="592">
        <v>10</v>
      </c>
      <c r="U11" s="606">
        <v>4</v>
      </c>
      <c r="V11" s="592">
        <f>SUM(X11:AI11)</f>
        <v>9</v>
      </c>
      <c r="W11" s="592">
        <f t="shared" si="3"/>
        <v>90</v>
      </c>
      <c r="X11" s="560">
        <v>2</v>
      </c>
      <c r="Y11" s="560">
        <v>2</v>
      </c>
      <c r="Z11" s="560">
        <v>1</v>
      </c>
      <c r="AA11" s="560">
        <v>1</v>
      </c>
      <c r="AB11" s="560">
        <v>3</v>
      </c>
      <c r="AC11" s="560">
        <v>0</v>
      </c>
      <c r="AD11" s="560"/>
      <c r="AE11" s="560"/>
      <c r="AF11" s="560"/>
      <c r="AG11" s="560"/>
      <c r="AH11" s="560"/>
      <c r="AI11" s="560"/>
      <c r="AJ11" s="605"/>
      <c r="AK11" s="592">
        <v>10</v>
      </c>
      <c r="AL11" s="606">
        <v>8</v>
      </c>
      <c r="AM11" s="592">
        <f>SUM(AO11:AZ11)</f>
        <v>5</v>
      </c>
      <c r="AN11" s="592">
        <f t="shared" si="4"/>
        <v>50</v>
      </c>
      <c r="AO11" s="560">
        <v>0</v>
      </c>
      <c r="AP11" s="560">
        <v>0</v>
      </c>
      <c r="AQ11" s="560">
        <v>1</v>
      </c>
      <c r="AR11" s="560">
        <v>2</v>
      </c>
      <c r="AS11" s="560">
        <v>2</v>
      </c>
      <c r="AT11" s="560">
        <v>0</v>
      </c>
      <c r="AU11" s="560"/>
      <c r="AV11" s="560"/>
      <c r="AW11" s="560"/>
      <c r="AX11" s="560"/>
      <c r="AY11" s="560"/>
      <c r="AZ11" s="560"/>
    </row>
    <row r="12" spans="1:52" ht="24" customHeight="1" x14ac:dyDescent="0.25">
      <c r="A12" s="592">
        <v>4</v>
      </c>
      <c r="B12" s="593" t="s">
        <v>317</v>
      </c>
      <c r="C12" s="592">
        <v>300</v>
      </c>
      <c r="D12" s="606">
        <v>195</v>
      </c>
      <c r="E12" s="592">
        <f>SUM(G12:R12)</f>
        <v>103</v>
      </c>
      <c r="F12" s="592">
        <f t="shared" si="2"/>
        <v>34.333333333333336</v>
      </c>
      <c r="G12" s="560">
        <v>16</v>
      </c>
      <c r="H12" s="560">
        <v>11</v>
      </c>
      <c r="I12" s="560">
        <v>18</v>
      </c>
      <c r="J12" s="560">
        <v>16</v>
      </c>
      <c r="K12" s="560">
        <v>19</v>
      </c>
      <c r="L12" s="560">
        <v>23</v>
      </c>
      <c r="M12" s="560"/>
      <c r="N12" s="560"/>
      <c r="O12" s="560"/>
      <c r="P12" s="560"/>
      <c r="Q12" s="560"/>
      <c r="R12" s="560"/>
      <c r="S12" s="605"/>
      <c r="T12" s="592"/>
      <c r="U12" s="606"/>
      <c r="V12" s="592">
        <f>SUM(X12:AI12)</f>
        <v>0</v>
      </c>
      <c r="W12" s="592" t="e">
        <f t="shared" si="3"/>
        <v>#DIV/0!</v>
      </c>
      <c r="X12" s="560"/>
      <c r="Y12" s="560"/>
      <c r="Z12" s="560">
        <f>Y12</f>
        <v>0</v>
      </c>
      <c r="AA12" s="560"/>
      <c r="AB12" s="560"/>
      <c r="AC12" s="560"/>
      <c r="AD12" s="560"/>
      <c r="AE12" s="560"/>
      <c r="AF12" s="560"/>
      <c r="AG12" s="560"/>
      <c r="AH12" s="560"/>
      <c r="AI12" s="560"/>
      <c r="AJ12" s="605"/>
      <c r="AK12" s="592">
        <v>250</v>
      </c>
      <c r="AL12" s="606">
        <v>124</v>
      </c>
      <c r="AM12" s="592">
        <f>SUM(AO12:AZ12)</f>
        <v>92</v>
      </c>
      <c r="AN12" s="592">
        <f t="shared" si="4"/>
        <v>36.799999999999997</v>
      </c>
      <c r="AO12" s="560">
        <v>9</v>
      </c>
      <c r="AP12" s="560">
        <v>9</v>
      </c>
      <c r="AQ12" s="560">
        <v>18</v>
      </c>
      <c r="AR12" s="560">
        <v>16</v>
      </c>
      <c r="AS12" s="560">
        <v>18</v>
      </c>
      <c r="AT12" s="560">
        <v>22</v>
      </c>
      <c r="AU12" s="560"/>
      <c r="AV12" s="560"/>
      <c r="AW12" s="560"/>
      <c r="AX12" s="560"/>
      <c r="AY12" s="560"/>
      <c r="AZ12" s="560"/>
    </row>
    <row r="13" spans="1:52" s="602" customFormat="1" ht="24" customHeight="1" x14ac:dyDescent="0.35">
      <c r="A13" s="574" t="s">
        <v>101</v>
      </c>
      <c r="B13" s="575" t="s">
        <v>318</v>
      </c>
      <c r="C13" s="574">
        <f>SUM(C14:C21)</f>
        <v>106600</v>
      </c>
      <c r="D13" s="574">
        <f t="shared" ref="D13:AZ13" si="6">SUM(D14:D21)</f>
        <v>48045</v>
      </c>
      <c r="E13" s="574">
        <f t="shared" si="6"/>
        <v>36820</v>
      </c>
      <c r="F13" s="574">
        <f t="shared" si="2"/>
        <v>34.540337711069419</v>
      </c>
      <c r="G13" s="574">
        <f t="shared" si="6"/>
        <v>5374</v>
      </c>
      <c r="H13" s="574">
        <f t="shared" si="6"/>
        <v>4119</v>
      </c>
      <c r="I13" s="574">
        <f t="shared" si="6"/>
        <v>7068</v>
      </c>
      <c r="J13" s="574">
        <f t="shared" si="6"/>
        <v>6284</v>
      </c>
      <c r="K13" s="574">
        <f t="shared" si="6"/>
        <v>7098</v>
      </c>
      <c r="L13" s="574">
        <f t="shared" si="6"/>
        <v>6877</v>
      </c>
      <c r="M13" s="574">
        <f t="shared" si="6"/>
        <v>0</v>
      </c>
      <c r="N13" s="574">
        <f t="shared" si="6"/>
        <v>0</v>
      </c>
      <c r="O13" s="574">
        <f t="shared" si="6"/>
        <v>0</v>
      </c>
      <c r="P13" s="574">
        <f t="shared" si="6"/>
        <v>0</v>
      </c>
      <c r="Q13" s="574">
        <f t="shared" si="6"/>
        <v>0</v>
      </c>
      <c r="R13" s="574">
        <f t="shared" si="6"/>
        <v>0</v>
      </c>
      <c r="S13" s="574">
        <f t="shared" si="6"/>
        <v>0</v>
      </c>
      <c r="T13" s="574">
        <f t="shared" si="6"/>
        <v>10900</v>
      </c>
      <c r="U13" s="574">
        <f t="shared" si="6"/>
        <v>5287</v>
      </c>
      <c r="V13" s="574">
        <f t="shared" si="6"/>
        <v>3285</v>
      </c>
      <c r="W13" s="574">
        <f t="shared" si="3"/>
        <v>30.137614678899084</v>
      </c>
      <c r="X13" s="574">
        <f t="shared" si="6"/>
        <v>489</v>
      </c>
      <c r="Y13" s="574">
        <f t="shared" si="6"/>
        <v>397</v>
      </c>
      <c r="Z13" s="574">
        <f t="shared" si="6"/>
        <v>581</v>
      </c>
      <c r="AA13" s="574">
        <f t="shared" si="6"/>
        <v>513</v>
      </c>
      <c r="AB13" s="574">
        <f t="shared" si="6"/>
        <v>619</v>
      </c>
      <c r="AC13" s="574">
        <f t="shared" si="6"/>
        <v>686</v>
      </c>
      <c r="AD13" s="574">
        <f t="shared" si="6"/>
        <v>0</v>
      </c>
      <c r="AE13" s="574">
        <f t="shared" si="6"/>
        <v>0</v>
      </c>
      <c r="AF13" s="574">
        <f t="shared" si="6"/>
        <v>0</v>
      </c>
      <c r="AG13" s="574">
        <f t="shared" si="6"/>
        <v>0</v>
      </c>
      <c r="AH13" s="574">
        <f t="shared" si="6"/>
        <v>0</v>
      </c>
      <c r="AI13" s="574">
        <f t="shared" si="6"/>
        <v>0</v>
      </c>
      <c r="AJ13" s="574">
        <f t="shared" si="6"/>
        <v>0</v>
      </c>
      <c r="AK13" s="574">
        <f t="shared" si="6"/>
        <v>73800</v>
      </c>
      <c r="AL13" s="574">
        <f t="shared" si="6"/>
        <v>34168</v>
      </c>
      <c r="AM13" s="574">
        <f t="shared" si="6"/>
        <v>24832</v>
      </c>
      <c r="AN13" s="574">
        <f t="shared" si="4"/>
        <v>33.647696476964768</v>
      </c>
      <c r="AO13" s="574">
        <f t="shared" si="6"/>
        <v>4444</v>
      </c>
      <c r="AP13" s="574">
        <f t="shared" si="6"/>
        <v>3106</v>
      </c>
      <c r="AQ13" s="574">
        <f t="shared" si="6"/>
        <v>5078</v>
      </c>
      <c r="AR13" s="574">
        <f t="shared" si="6"/>
        <v>4096</v>
      </c>
      <c r="AS13" s="574">
        <f t="shared" si="6"/>
        <v>4176</v>
      </c>
      <c r="AT13" s="574">
        <f t="shared" si="6"/>
        <v>3932</v>
      </c>
      <c r="AU13" s="574">
        <f t="shared" si="6"/>
        <v>0</v>
      </c>
      <c r="AV13" s="574">
        <f t="shared" si="6"/>
        <v>0</v>
      </c>
      <c r="AW13" s="574">
        <f t="shared" si="6"/>
        <v>0</v>
      </c>
      <c r="AX13" s="574">
        <f t="shared" si="6"/>
        <v>0</v>
      </c>
      <c r="AY13" s="574">
        <f t="shared" si="6"/>
        <v>0</v>
      </c>
      <c r="AZ13" s="574">
        <f t="shared" si="6"/>
        <v>0</v>
      </c>
    </row>
    <row r="14" spans="1:52" ht="24" customHeight="1" x14ac:dyDescent="0.25">
      <c r="A14" s="592">
        <v>1</v>
      </c>
      <c r="B14" s="593" t="s">
        <v>319</v>
      </c>
      <c r="C14" s="592">
        <v>10500</v>
      </c>
      <c r="D14" s="606">
        <v>4894</v>
      </c>
      <c r="E14" s="592">
        <f>SUM(G14:R14)</f>
        <v>3171</v>
      </c>
      <c r="F14" s="592">
        <f t="shared" si="2"/>
        <v>30.2</v>
      </c>
      <c r="G14" s="560">
        <v>531</v>
      </c>
      <c r="H14" s="560">
        <v>338</v>
      </c>
      <c r="I14" s="560">
        <v>608</v>
      </c>
      <c r="J14" s="560">
        <v>396</v>
      </c>
      <c r="K14" s="560">
        <v>660</v>
      </c>
      <c r="L14" s="560">
        <v>638</v>
      </c>
      <c r="M14" s="560"/>
      <c r="N14" s="560"/>
      <c r="O14" s="560"/>
      <c r="P14" s="560"/>
      <c r="Q14" s="560"/>
      <c r="R14" s="560"/>
      <c r="S14" s="605"/>
      <c r="T14" s="592">
        <v>1500</v>
      </c>
      <c r="U14" s="606">
        <v>760</v>
      </c>
      <c r="V14" s="592">
        <f>SUM(X14:AI14)</f>
        <v>333</v>
      </c>
      <c r="W14" s="592">
        <f t="shared" si="3"/>
        <v>22.2</v>
      </c>
      <c r="X14" s="560">
        <v>37</v>
      </c>
      <c r="Y14" s="560">
        <v>40</v>
      </c>
      <c r="Z14" s="560">
        <v>38</v>
      </c>
      <c r="AA14" s="560">
        <v>37</v>
      </c>
      <c r="AB14" s="560">
        <v>104</v>
      </c>
      <c r="AC14" s="560">
        <v>77</v>
      </c>
      <c r="AD14" s="560"/>
      <c r="AE14" s="560"/>
      <c r="AF14" s="560"/>
      <c r="AG14" s="560"/>
      <c r="AH14" s="560"/>
      <c r="AI14" s="560"/>
      <c r="AJ14" s="605"/>
      <c r="AK14" s="592">
        <v>8000</v>
      </c>
      <c r="AL14" s="606">
        <v>4154</v>
      </c>
      <c r="AM14" s="592">
        <f>SUM(AO14:AZ14)</f>
        <v>2783</v>
      </c>
      <c r="AN14" s="592">
        <f t="shared" si="4"/>
        <v>34.787500000000001</v>
      </c>
      <c r="AO14" s="560">
        <v>490</v>
      </c>
      <c r="AP14" s="560">
        <v>289</v>
      </c>
      <c r="AQ14" s="560">
        <v>562</v>
      </c>
      <c r="AR14" s="560">
        <v>350</v>
      </c>
      <c r="AS14" s="560">
        <v>540</v>
      </c>
      <c r="AT14" s="560">
        <v>552</v>
      </c>
      <c r="AU14" s="560"/>
      <c r="AV14" s="560"/>
      <c r="AW14" s="560"/>
      <c r="AX14" s="560"/>
      <c r="AY14" s="560"/>
      <c r="AZ14" s="560"/>
    </row>
    <row r="15" spans="1:52" ht="24" customHeight="1" x14ac:dyDescent="0.25">
      <c r="A15" s="592">
        <v>2</v>
      </c>
      <c r="B15" s="593" t="s">
        <v>320</v>
      </c>
      <c r="C15" s="592">
        <v>17500</v>
      </c>
      <c r="D15" s="606">
        <v>7870</v>
      </c>
      <c r="E15" s="592">
        <f>SUM(G15:R15)</f>
        <v>7978</v>
      </c>
      <c r="F15" s="592">
        <f>E15/C15*100</f>
        <v>45.588571428571427</v>
      </c>
      <c r="G15" s="560">
        <v>1470</v>
      </c>
      <c r="H15" s="560">
        <v>1039</v>
      </c>
      <c r="I15" s="560">
        <v>1789</v>
      </c>
      <c r="J15" s="560">
        <v>1520</v>
      </c>
      <c r="K15" s="560">
        <v>1242</v>
      </c>
      <c r="L15" s="560">
        <v>918</v>
      </c>
      <c r="M15" s="560"/>
      <c r="N15" s="560"/>
      <c r="O15" s="560"/>
      <c r="P15" s="560"/>
      <c r="Q15" s="560"/>
      <c r="R15" s="560"/>
      <c r="S15" s="605"/>
      <c r="T15" s="592">
        <v>1700</v>
      </c>
      <c r="U15" s="606">
        <v>701</v>
      </c>
      <c r="V15" s="592">
        <f>SUM(X15:AI15)</f>
        <v>880</v>
      </c>
      <c r="W15" s="592">
        <f>V15/T15*100</f>
        <v>51.764705882352949</v>
      </c>
      <c r="X15" s="560">
        <v>148</v>
      </c>
      <c r="Y15" s="560">
        <v>120</v>
      </c>
      <c r="Z15" s="560">
        <v>214</v>
      </c>
      <c r="AA15" s="560">
        <v>158</v>
      </c>
      <c r="AB15" s="560">
        <v>147</v>
      </c>
      <c r="AC15" s="560">
        <v>93</v>
      </c>
      <c r="AD15" s="560"/>
      <c r="AE15" s="560"/>
      <c r="AF15" s="560"/>
      <c r="AG15" s="560"/>
      <c r="AH15" s="560"/>
      <c r="AI15" s="560"/>
      <c r="AJ15" s="605"/>
      <c r="AK15" s="592">
        <v>15000</v>
      </c>
      <c r="AL15" s="606">
        <v>6824</v>
      </c>
      <c r="AM15" s="592">
        <f>SUM(AO15:AZ15)</f>
        <v>6814</v>
      </c>
      <c r="AN15" s="592">
        <f>AM15/AK15*100</f>
        <v>45.426666666666662</v>
      </c>
      <c r="AO15" s="560">
        <v>1278</v>
      </c>
      <c r="AP15" s="560">
        <v>878</v>
      </c>
      <c r="AQ15" s="560">
        <v>1511</v>
      </c>
      <c r="AR15" s="560">
        <v>1295</v>
      </c>
      <c r="AS15" s="560">
        <v>1063</v>
      </c>
      <c r="AT15" s="560">
        <v>789</v>
      </c>
      <c r="AU15" s="560"/>
      <c r="AV15" s="560"/>
      <c r="AW15" s="560"/>
      <c r="AX15" s="560"/>
      <c r="AY15" s="560"/>
      <c r="AZ15" s="560"/>
    </row>
    <row r="16" spans="1:52" ht="24" customHeight="1" x14ac:dyDescent="0.25">
      <c r="A16" s="592">
        <v>3</v>
      </c>
      <c r="B16" s="593" t="s">
        <v>321</v>
      </c>
      <c r="C16" s="592">
        <v>19000</v>
      </c>
      <c r="D16" s="606">
        <v>9321</v>
      </c>
      <c r="E16" s="592">
        <f t="shared" ref="E16:E21" si="7">SUM(G16:R16)</f>
        <v>4761</v>
      </c>
      <c r="F16" s="592">
        <f t="shared" si="2"/>
        <v>25.057894736842105</v>
      </c>
      <c r="G16" s="560">
        <v>817</v>
      </c>
      <c r="H16" s="560">
        <v>579</v>
      </c>
      <c r="I16" s="560">
        <v>876</v>
      </c>
      <c r="J16" s="560">
        <v>775</v>
      </c>
      <c r="K16" s="560">
        <v>953</v>
      </c>
      <c r="L16" s="560">
        <v>761</v>
      </c>
      <c r="M16" s="560"/>
      <c r="N16" s="560"/>
      <c r="O16" s="560"/>
      <c r="P16" s="560"/>
      <c r="Q16" s="560"/>
      <c r="R16" s="560"/>
      <c r="S16" s="605"/>
      <c r="T16" s="592">
        <v>1900</v>
      </c>
      <c r="U16" s="606">
        <v>1092</v>
      </c>
      <c r="V16" s="592">
        <f t="shared" ref="V16:V21" si="8">SUM(X16:AI16)</f>
        <v>383</v>
      </c>
      <c r="W16" s="592">
        <f t="shared" si="3"/>
        <v>20.157894736842106</v>
      </c>
      <c r="X16" s="560">
        <v>79</v>
      </c>
      <c r="Y16" s="560">
        <v>50</v>
      </c>
      <c r="Z16" s="560">
        <v>47</v>
      </c>
      <c r="AA16" s="560">
        <v>43</v>
      </c>
      <c r="AB16" s="560">
        <v>62</v>
      </c>
      <c r="AC16" s="560">
        <v>102</v>
      </c>
      <c r="AD16" s="560"/>
      <c r="AE16" s="560"/>
      <c r="AF16" s="560"/>
      <c r="AG16" s="560"/>
      <c r="AH16" s="560"/>
      <c r="AI16" s="560"/>
      <c r="AJ16" s="605"/>
      <c r="AK16" s="592">
        <v>11000</v>
      </c>
      <c r="AL16" s="606">
        <v>6058</v>
      </c>
      <c r="AM16" s="592">
        <f t="shared" ref="AM16:AM21" si="9">SUM(AO16:AZ16)</f>
        <v>3488</v>
      </c>
      <c r="AN16" s="592">
        <f t="shared" si="4"/>
        <v>31.709090909090911</v>
      </c>
      <c r="AO16" s="560">
        <v>797</v>
      </c>
      <c r="AP16" s="560">
        <v>588</v>
      </c>
      <c r="AQ16" s="560">
        <f>AP16</f>
        <v>588</v>
      </c>
      <c r="AR16" s="560">
        <v>591</v>
      </c>
      <c r="AS16" s="560">
        <v>447</v>
      </c>
      <c r="AT16" s="560">
        <v>477</v>
      </c>
      <c r="AU16" s="560"/>
      <c r="AV16" s="560"/>
      <c r="AW16" s="560"/>
      <c r="AX16" s="560"/>
      <c r="AY16" s="560"/>
      <c r="AZ16" s="560"/>
    </row>
    <row r="17" spans="1:52" ht="24" customHeight="1" x14ac:dyDescent="0.25">
      <c r="A17" s="592">
        <v>4</v>
      </c>
      <c r="B17" s="593" t="s">
        <v>322</v>
      </c>
      <c r="C17" s="592">
        <v>20000</v>
      </c>
      <c r="D17" s="606">
        <v>9810</v>
      </c>
      <c r="E17" s="592">
        <f t="shared" si="7"/>
        <v>10262</v>
      </c>
      <c r="F17" s="592">
        <f t="shared" si="2"/>
        <v>51.31</v>
      </c>
      <c r="G17" s="560">
        <v>1152</v>
      </c>
      <c r="H17" s="560">
        <v>1013</v>
      </c>
      <c r="I17" s="560">
        <v>1449</v>
      </c>
      <c r="J17" s="560">
        <v>1917</v>
      </c>
      <c r="K17" s="560">
        <v>2362</v>
      </c>
      <c r="L17" s="560">
        <v>2369</v>
      </c>
      <c r="M17" s="560"/>
      <c r="N17" s="560"/>
      <c r="O17" s="560"/>
      <c r="P17" s="560"/>
      <c r="Q17" s="560"/>
      <c r="R17" s="560"/>
      <c r="S17" s="605"/>
      <c r="T17" s="592">
        <v>1400</v>
      </c>
      <c r="U17" s="606">
        <v>609</v>
      </c>
      <c r="V17" s="592">
        <f t="shared" si="8"/>
        <v>447</v>
      </c>
      <c r="W17" s="592">
        <f t="shared" si="3"/>
        <v>31.928571428571427</v>
      </c>
      <c r="X17" s="560">
        <v>77</v>
      </c>
      <c r="Y17" s="560">
        <v>48</v>
      </c>
      <c r="Z17" s="560">
        <v>68</v>
      </c>
      <c r="AA17" s="560">
        <v>74</v>
      </c>
      <c r="AB17" s="560">
        <v>88</v>
      </c>
      <c r="AC17" s="560">
        <v>92</v>
      </c>
      <c r="AD17" s="560"/>
      <c r="AE17" s="560"/>
      <c r="AF17" s="560"/>
      <c r="AG17" s="560"/>
      <c r="AH17" s="560"/>
      <c r="AI17" s="560"/>
      <c r="AJ17" s="605"/>
      <c r="AK17" s="592">
        <v>11000</v>
      </c>
      <c r="AL17" s="606">
        <v>4751</v>
      </c>
      <c r="AM17" s="592">
        <f t="shared" si="9"/>
        <v>3932</v>
      </c>
      <c r="AN17" s="592">
        <f t="shared" si="4"/>
        <v>35.745454545454542</v>
      </c>
      <c r="AO17" s="560">
        <v>624</v>
      </c>
      <c r="AP17" s="560">
        <v>496</v>
      </c>
      <c r="AQ17" s="560">
        <v>855</v>
      </c>
      <c r="AR17" s="560">
        <v>601</v>
      </c>
      <c r="AS17" s="560">
        <v>615</v>
      </c>
      <c r="AT17" s="560">
        <v>741</v>
      </c>
      <c r="AU17" s="560"/>
      <c r="AV17" s="560"/>
      <c r="AW17" s="560"/>
      <c r="AX17" s="560"/>
      <c r="AY17" s="560"/>
      <c r="AZ17" s="560"/>
    </row>
    <row r="18" spans="1:52" ht="24" customHeight="1" x14ac:dyDescent="0.25">
      <c r="A18" s="592">
        <v>5</v>
      </c>
      <c r="B18" s="593" t="s">
        <v>323</v>
      </c>
      <c r="C18" s="592">
        <v>16000</v>
      </c>
      <c r="D18" s="606">
        <v>6589</v>
      </c>
      <c r="E18" s="592">
        <f t="shared" si="7"/>
        <v>3755</v>
      </c>
      <c r="F18" s="592">
        <f t="shared" si="2"/>
        <v>23.46875</v>
      </c>
      <c r="G18" s="560">
        <v>558</v>
      </c>
      <c r="H18" s="560">
        <v>404</v>
      </c>
      <c r="I18" s="560">
        <v>639</v>
      </c>
      <c r="J18" s="560">
        <v>638</v>
      </c>
      <c r="K18" s="560">
        <v>697</v>
      </c>
      <c r="L18" s="560">
        <v>819</v>
      </c>
      <c r="M18" s="560"/>
      <c r="N18" s="560"/>
      <c r="O18" s="560"/>
      <c r="P18" s="560"/>
      <c r="Q18" s="560"/>
      <c r="R18" s="560"/>
      <c r="S18" s="605"/>
      <c r="T18" s="592">
        <v>2000</v>
      </c>
      <c r="U18" s="606">
        <v>1004</v>
      </c>
      <c r="V18" s="592">
        <f t="shared" si="8"/>
        <v>635</v>
      </c>
      <c r="W18" s="592">
        <f t="shared" si="3"/>
        <v>31.75</v>
      </c>
      <c r="X18" s="560">
        <v>88</v>
      </c>
      <c r="Y18" s="560">
        <v>58</v>
      </c>
      <c r="Z18" s="560">
        <v>75</v>
      </c>
      <c r="AA18" s="560">
        <v>105</v>
      </c>
      <c r="AB18" s="560">
        <v>133</v>
      </c>
      <c r="AC18" s="560">
        <v>176</v>
      </c>
      <c r="AD18" s="560"/>
      <c r="AE18" s="560"/>
      <c r="AF18" s="560"/>
      <c r="AG18" s="560"/>
      <c r="AH18" s="560"/>
      <c r="AI18" s="560"/>
      <c r="AJ18" s="605"/>
      <c r="AK18" s="592">
        <v>13000</v>
      </c>
      <c r="AL18" s="606">
        <v>5630</v>
      </c>
      <c r="AM18" s="592">
        <f t="shared" si="9"/>
        <v>3021</v>
      </c>
      <c r="AN18" s="592">
        <f t="shared" si="4"/>
        <v>23.238461538461539</v>
      </c>
      <c r="AO18" s="560">
        <v>483</v>
      </c>
      <c r="AP18" s="560">
        <v>319</v>
      </c>
      <c r="AQ18" s="560">
        <v>494</v>
      </c>
      <c r="AR18" s="560">
        <v>529</v>
      </c>
      <c r="AS18" s="560">
        <v>554</v>
      </c>
      <c r="AT18" s="560">
        <v>642</v>
      </c>
      <c r="AU18" s="560"/>
      <c r="AV18" s="560"/>
      <c r="AW18" s="560"/>
      <c r="AX18" s="560"/>
      <c r="AY18" s="560"/>
      <c r="AZ18" s="560"/>
    </row>
    <row r="19" spans="1:52" ht="24" customHeight="1" x14ac:dyDescent="0.25">
      <c r="A19" s="592">
        <v>6</v>
      </c>
      <c r="B19" s="593" t="s">
        <v>324</v>
      </c>
      <c r="C19" s="592">
        <v>15500</v>
      </c>
      <c r="D19" s="606">
        <v>5942</v>
      </c>
      <c r="E19" s="592">
        <f t="shared" si="7"/>
        <v>4014</v>
      </c>
      <c r="F19" s="592">
        <f t="shared" si="2"/>
        <v>25.896774193548389</v>
      </c>
      <c r="G19" s="560">
        <v>339</v>
      </c>
      <c r="H19" s="560">
        <v>385</v>
      </c>
      <c r="I19" s="560">
        <v>1110</v>
      </c>
      <c r="J19" s="560">
        <v>508</v>
      </c>
      <c r="K19" s="560">
        <v>753</v>
      </c>
      <c r="L19" s="560">
        <v>919</v>
      </c>
      <c r="M19" s="560"/>
      <c r="N19" s="560"/>
      <c r="O19" s="560"/>
      <c r="P19" s="560"/>
      <c r="Q19" s="560"/>
      <c r="R19" s="560"/>
      <c r="S19" s="605"/>
      <c r="T19" s="592">
        <v>1500</v>
      </c>
      <c r="U19" s="606">
        <v>727</v>
      </c>
      <c r="V19" s="592">
        <f t="shared" si="8"/>
        <v>431</v>
      </c>
      <c r="W19" s="592">
        <f t="shared" si="3"/>
        <v>28.733333333333334</v>
      </c>
      <c r="X19" s="560">
        <v>29</v>
      </c>
      <c r="Y19" s="560">
        <v>51</v>
      </c>
      <c r="Z19" s="560">
        <v>118</v>
      </c>
      <c r="AA19" s="560">
        <v>74</v>
      </c>
      <c r="AB19" s="560">
        <v>72</v>
      </c>
      <c r="AC19" s="560">
        <v>87</v>
      </c>
      <c r="AD19" s="560"/>
      <c r="AE19" s="560"/>
      <c r="AF19" s="560"/>
      <c r="AG19" s="560"/>
      <c r="AH19" s="560"/>
      <c r="AI19" s="560"/>
      <c r="AJ19" s="605"/>
      <c r="AK19" s="592">
        <v>9500</v>
      </c>
      <c r="AL19" s="606">
        <v>3783</v>
      </c>
      <c r="AM19" s="592">
        <f t="shared" si="9"/>
        <v>2662</v>
      </c>
      <c r="AN19" s="592">
        <f t="shared" si="4"/>
        <v>28.021052631578947</v>
      </c>
      <c r="AO19" s="560">
        <v>312</v>
      </c>
      <c r="AP19" s="560">
        <v>223</v>
      </c>
      <c r="AQ19" s="560">
        <v>762</v>
      </c>
      <c r="AR19" s="560">
        <v>368</v>
      </c>
      <c r="AS19" s="560">
        <v>605</v>
      </c>
      <c r="AT19" s="560">
        <v>392</v>
      </c>
      <c r="AU19" s="560"/>
      <c r="AV19" s="560"/>
      <c r="AW19" s="560"/>
      <c r="AX19" s="560"/>
      <c r="AY19" s="560"/>
      <c r="AZ19" s="560"/>
    </row>
    <row r="20" spans="1:52" ht="24" customHeight="1" x14ac:dyDescent="0.25">
      <c r="A20" s="592">
        <v>7</v>
      </c>
      <c r="B20" s="593" t="s">
        <v>325</v>
      </c>
      <c r="C20" s="592">
        <v>2100</v>
      </c>
      <c r="D20" s="606">
        <v>635</v>
      </c>
      <c r="E20" s="592">
        <f t="shared" si="7"/>
        <v>815</v>
      </c>
      <c r="F20" s="592">
        <f t="shared" si="2"/>
        <v>38.80952380952381</v>
      </c>
      <c r="G20" s="560">
        <v>64</v>
      </c>
      <c r="H20" s="560">
        <v>40</v>
      </c>
      <c r="I20" s="560">
        <v>330</v>
      </c>
      <c r="J20" s="560">
        <v>181</v>
      </c>
      <c r="K20" s="560">
        <v>108</v>
      </c>
      <c r="L20" s="560">
        <v>92</v>
      </c>
      <c r="M20" s="560"/>
      <c r="N20" s="560"/>
      <c r="O20" s="560"/>
      <c r="P20" s="560"/>
      <c r="Q20" s="560"/>
      <c r="R20" s="560"/>
      <c r="S20" s="605"/>
      <c r="T20" s="592">
        <v>100</v>
      </c>
      <c r="U20" s="606"/>
      <c r="V20" s="592">
        <f t="shared" si="8"/>
        <v>15</v>
      </c>
      <c r="W20" s="592">
        <f t="shared" si="3"/>
        <v>15</v>
      </c>
      <c r="X20" s="560">
        <v>0</v>
      </c>
      <c r="Y20" s="560">
        <v>0</v>
      </c>
      <c r="Z20" s="560">
        <v>10</v>
      </c>
      <c r="AA20" s="560">
        <v>2</v>
      </c>
      <c r="AB20" s="560">
        <v>0</v>
      </c>
      <c r="AC20" s="560">
        <v>3</v>
      </c>
      <c r="AD20" s="560"/>
      <c r="AE20" s="560"/>
      <c r="AF20" s="560"/>
      <c r="AG20" s="560"/>
      <c r="AH20" s="560"/>
      <c r="AI20" s="560"/>
      <c r="AJ20" s="605"/>
      <c r="AK20" s="592">
        <v>1300</v>
      </c>
      <c r="AL20" s="606">
        <v>384</v>
      </c>
      <c r="AM20" s="592">
        <f t="shared" si="9"/>
        <v>229</v>
      </c>
      <c r="AN20" s="592">
        <f t="shared" si="4"/>
        <v>17.615384615384617</v>
      </c>
      <c r="AO20" s="560">
        <v>48</v>
      </c>
      <c r="AP20" s="560">
        <v>22</v>
      </c>
      <c r="AQ20" s="560">
        <v>50</v>
      </c>
      <c r="AR20" s="560">
        <v>33</v>
      </c>
      <c r="AS20" s="560">
        <v>42</v>
      </c>
      <c r="AT20" s="560">
        <v>34</v>
      </c>
      <c r="AU20" s="560"/>
      <c r="AV20" s="560"/>
      <c r="AW20" s="560"/>
      <c r="AX20" s="560"/>
      <c r="AY20" s="560"/>
      <c r="AZ20" s="560"/>
    </row>
    <row r="21" spans="1:52" ht="24" customHeight="1" x14ac:dyDescent="0.25">
      <c r="A21" s="592">
        <v>8</v>
      </c>
      <c r="B21" s="593" t="s">
        <v>326</v>
      </c>
      <c r="C21" s="592">
        <v>6000</v>
      </c>
      <c r="D21" s="606">
        <v>2984</v>
      </c>
      <c r="E21" s="592">
        <f t="shared" si="7"/>
        <v>2064</v>
      </c>
      <c r="F21" s="592">
        <f t="shared" si="2"/>
        <v>34.4</v>
      </c>
      <c r="G21" s="560">
        <v>443</v>
      </c>
      <c r="H21" s="560">
        <v>321</v>
      </c>
      <c r="I21" s="560">
        <v>267</v>
      </c>
      <c r="J21" s="560">
        <v>349</v>
      </c>
      <c r="K21" s="560">
        <v>323</v>
      </c>
      <c r="L21" s="560">
        <v>361</v>
      </c>
      <c r="M21" s="560"/>
      <c r="N21" s="560"/>
      <c r="O21" s="560"/>
      <c r="P21" s="560"/>
      <c r="Q21" s="560"/>
      <c r="R21" s="560"/>
      <c r="S21" s="605"/>
      <c r="T21" s="592">
        <v>800</v>
      </c>
      <c r="U21" s="606">
        <v>394</v>
      </c>
      <c r="V21" s="592">
        <f t="shared" si="8"/>
        <v>161</v>
      </c>
      <c r="W21" s="592">
        <f t="shared" si="3"/>
        <v>20.125</v>
      </c>
      <c r="X21" s="560">
        <v>31</v>
      </c>
      <c r="Y21" s="560">
        <v>30</v>
      </c>
      <c r="Z21" s="560">
        <v>11</v>
      </c>
      <c r="AA21" s="560">
        <v>20</v>
      </c>
      <c r="AB21" s="560">
        <v>13</v>
      </c>
      <c r="AC21" s="560">
        <v>56</v>
      </c>
      <c r="AD21" s="560"/>
      <c r="AE21" s="560"/>
      <c r="AF21" s="560"/>
      <c r="AG21" s="560"/>
      <c r="AH21" s="560"/>
      <c r="AI21" s="560"/>
      <c r="AJ21" s="605"/>
      <c r="AK21" s="592">
        <v>5000</v>
      </c>
      <c r="AL21" s="606">
        <v>2584</v>
      </c>
      <c r="AM21" s="592">
        <f t="shared" si="9"/>
        <v>1903</v>
      </c>
      <c r="AN21" s="592">
        <f t="shared" si="4"/>
        <v>38.06</v>
      </c>
      <c r="AO21" s="560">
        <v>412</v>
      </c>
      <c r="AP21" s="560">
        <v>291</v>
      </c>
      <c r="AQ21" s="560">
        <v>256</v>
      </c>
      <c r="AR21" s="560">
        <v>329</v>
      </c>
      <c r="AS21" s="560">
        <v>310</v>
      </c>
      <c r="AT21" s="560">
        <v>305</v>
      </c>
      <c r="AU21" s="560"/>
      <c r="AV21" s="560"/>
      <c r="AW21" s="560"/>
      <c r="AX21" s="560"/>
      <c r="AY21" s="560"/>
      <c r="AZ21" s="560"/>
    </row>
    <row r="22" spans="1:52" s="557" customFormat="1" ht="96.75" customHeight="1" x14ac:dyDescent="0.25">
      <c r="A22" s="553"/>
      <c r="B22" s="547"/>
      <c r="C22" s="548"/>
      <c r="D22" s="549"/>
      <c r="E22" s="553"/>
      <c r="F22" s="554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61"/>
      <c r="T22" s="548"/>
      <c r="U22" s="549"/>
      <c r="V22" s="553"/>
      <c r="W22" s="554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61"/>
      <c r="AK22" s="548"/>
      <c r="AL22" s="549"/>
      <c r="AM22" s="553"/>
      <c r="AN22" s="554"/>
      <c r="AO22" s="552"/>
      <c r="AP22" s="552"/>
      <c r="AQ22" s="552"/>
      <c r="AR22" s="552"/>
      <c r="AS22" s="552"/>
      <c r="AT22" s="552"/>
      <c r="AU22" s="552"/>
      <c r="AV22" s="552"/>
      <c r="AW22" s="552"/>
      <c r="AX22" s="552"/>
      <c r="AY22" s="552"/>
      <c r="AZ22" s="552"/>
    </row>
    <row r="23" spans="1:52" s="584" customFormat="1" x14ac:dyDescent="0.25">
      <c r="B23" s="585"/>
      <c r="C23" s="569"/>
      <c r="D23" s="569"/>
      <c r="E23" s="569"/>
      <c r="F23" s="569"/>
      <c r="G23" s="569"/>
      <c r="H23" s="586"/>
      <c r="K23" s="586"/>
      <c r="L23" s="569"/>
      <c r="M23" s="586"/>
      <c r="P23" s="586"/>
      <c r="Q23" s="587"/>
      <c r="R23" s="586"/>
      <c r="U23" s="586"/>
      <c r="V23" s="588"/>
      <c r="W23" s="588"/>
      <c r="X23" s="588"/>
      <c r="Y23" s="588"/>
    </row>
    <row r="24" spans="1:52" s="584" customFormat="1" x14ac:dyDescent="0.25">
      <c r="C24" s="569"/>
      <c r="D24" s="569"/>
      <c r="E24" s="569"/>
      <c r="F24" s="569"/>
      <c r="G24" s="569"/>
      <c r="H24" s="586"/>
      <c r="K24" s="586"/>
      <c r="L24" s="569"/>
      <c r="M24" s="586"/>
      <c r="P24" s="586"/>
      <c r="Q24" s="587"/>
      <c r="R24" s="586"/>
      <c r="U24" s="586"/>
      <c r="V24" s="588"/>
      <c r="W24" s="588"/>
      <c r="X24" s="588"/>
      <c r="Y24" s="588"/>
    </row>
    <row r="25" spans="1:52" x14ac:dyDescent="0.25">
      <c r="C25" s="680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1"/>
      <c r="AH25" s="681"/>
      <c r="AI25" s="681"/>
      <c r="AJ25" s="681"/>
      <c r="AK25" s="681"/>
      <c r="AL25" s="681"/>
      <c r="AM25" s="681"/>
      <c r="AN25" s="681"/>
      <c r="AO25" s="562"/>
      <c r="AP25" s="558"/>
      <c r="AR25" s="559"/>
      <c r="AS25" s="559"/>
      <c r="AT25" s="559"/>
      <c r="AU25" s="559"/>
      <c r="AV25" s="559"/>
      <c r="AW25" s="559"/>
      <c r="AX25" s="559"/>
      <c r="AY25" s="559"/>
      <c r="AZ25" s="559"/>
    </row>
    <row r="26" spans="1:52" x14ac:dyDescent="0.25">
      <c r="A26" s="562"/>
      <c r="B26" s="562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681"/>
      <c r="AL26" s="681"/>
      <c r="AM26" s="681"/>
      <c r="AN26" s="681"/>
      <c r="AO26" s="559"/>
      <c r="AP26" s="559"/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</row>
    <row r="27" spans="1:52" x14ac:dyDescent="0.25">
      <c r="C27" s="570"/>
      <c r="D27" s="558"/>
      <c r="E27" s="558"/>
      <c r="F27" s="558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64"/>
      <c r="AK27" s="565"/>
      <c r="AL27" s="565"/>
      <c r="AM27" s="565"/>
      <c r="AN27" s="565"/>
    </row>
    <row r="28" spans="1:52" x14ac:dyDescent="0.25">
      <c r="C28" s="558"/>
      <c r="D28" s="558"/>
      <c r="E28" s="558"/>
      <c r="F28" s="558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64"/>
      <c r="AK28" s="565"/>
      <c r="AL28" s="565"/>
      <c r="AM28" s="565"/>
      <c r="AN28" s="565"/>
    </row>
    <row r="29" spans="1:52" x14ac:dyDescent="0.25">
      <c r="C29" s="558"/>
      <c r="D29" s="558"/>
      <c r="F29" s="546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</row>
    <row r="30" spans="1:52" x14ac:dyDescent="0.25">
      <c r="C30" s="558"/>
      <c r="D30" s="558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</row>
    <row r="31" spans="1:52" x14ac:dyDescent="0.25">
      <c r="C31" s="558"/>
      <c r="D31" s="558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</row>
    <row r="32" spans="1:52" x14ac:dyDescent="0.25">
      <c r="C32" s="558"/>
      <c r="D32" s="558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59"/>
      <c r="AH32" s="559"/>
      <c r="AI32" s="559"/>
    </row>
    <row r="33" spans="3:35" x14ac:dyDescent="0.25">
      <c r="C33" s="568"/>
      <c r="D33" s="568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</row>
    <row r="34" spans="3:35" x14ac:dyDescent="0.25">
      <c r="C34" s="568"/>
      <c r="D34" s="568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</row>
    <row r="35" spans="3:35" x14ac:dyDescent="0.25">
      <c r="C35" s="565"/>
      <c r="D35" s="565"/>
      <c r="E35" s="565"/>
      <c r="F35" s="565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62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</row>
  </sheetData>
  <mergeCells count="26">
    <mergeCell ref="C25:AN26"/>
    <mergeCell ref="V5:V6"/>
    <mergeCell ref="W5:W6"/>
    <mergeCell ref="X5:AI5"/>
    <mergeCell ref="AJ5:AJ6"/>
    <mergeCell ref="AK5:AK6"/>
    <mergeCell ref="AL5:AL6"/>
    <mergeCell ref="E5:E6"/>
    <mergeCell ref="F5:F6"/>
    <mergeCell ref="G5:R5"/>
    <mergeCell ref="S5:S6"/>
    <mergeCell ref="T5:T6"/>
    <mergeCell ref="U5:U6"/>
    <mergeCell ref="A1:AZ1"/>
    <mergeCell ref="A2:AZ2"/>
    <mergeCell ref="A3:A6"/>
    <mergeCell ref="B3:B6"/>
    <mergeCell ref="C3:AZ3"/>
    <mergeCell ref="C4:S4"/>
    <mergeCell ref="T4:AJ4"/>
    <mergeCell ref="AK4:AZ4"/>
    <mergeCell ref="C5:C6"/>
    <mergeCell ref="D5:D6"/>
    <mergeCell ref="AM5:AM6"/>
    <mergeCell ref="AN5:AN6"/>
    <mergeCell ref="AO5:AZ5"/>
  </mergeCells>
  <pageMargins left="0.44" right="0.2" top="0.46" bottom="0.33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4"/>
  <sheetViews>
    <sheetView workbookViewId="0">
      <selection activeCell="F60" sqref="F60"/>
    </sheetView>
  </sheetViews>
  <sheetFormatPr defaultColWidth="8.875" defaultRowHeight="15.75" x14ac:dyDescent="0.25"/>
  <cols>
    <col min="1" max="1" width="4" style="173" customWidth="1"/>
    <col min="2" max="2" width="35.25" style="313" customWidth="1"/>
    <col min="3" max="3" width="6.125" style="314" customWidth="1"/>
    <col min="4" max="4" width="6.375" style="170" customWidth="1"/>
    <col min="5" max="5" width="9.5" style="170" customWidth="1"/>
    <col min="6" max="6" width="8.125" style="170" customWidth="1"/>
    <col min="7" max="7" width="7.125" style="170" customWidth="1"/>
    <col min="8" max="8" width="7.375" style="170" customWidth="1"/>
    <col min="9" max="9" width="8.125" style="170" customWidth="1"/>
    <col min="10" max="10" width="7.375" style="170" customWidth="1"/>
    <col min="11" max="11" width="9.25" style="170" customWidth="1"/>
    <col min="12" max="12" width="8" style="170" customWidth="1"/>
    <col min="13" max="13" width="12" style="170" customWidth="1"/>
    <col min="14" max="14" width="6.625" style="176" customWidth="1"/>
    <col min="15" max="24" width="8.875" style="170" customWidth="1"/>
    <col min="25" max="16384" width="8.875" style="170"/>
  </cols>
  <sheetData>
    <row r="1" spans="1:19" ht="18.75" x14ac:dyDescent="0.3">
      <c r="A1" s="701" t="s">
        <v>159</v>
      </c>
      <c r="B1" s="701"/>
      <c r="C1" s="165"/>
      <c r="D1" s="166"/>
      <c r="E1" s="166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8"/>
      <c r="S1" s="169"/>
    </row>
    <row r="2" spans="1:19" x14ac:dyDescent="0.25">
      <c r="A2" s="702" t="s">
        <v>160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171"/>
      <c r="P2" s="171"/>
      <c r="Q2" s="171"/>
      <c r="R2" s="171"/>
      <c r="S2" s="171"/>
    </row>
    <row r="3" spans="1:19" x14ac:dyDescent="0.25">
      <c r="A3" s="703" t="s">
        <v>161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172"/>
      <c r="P3" s="172"/>
      <c r="Q3" s="172"/>
      <c r="R3" s="172"/>
      <c r="S3" s="172"/>
    </row>
    <row r="4" spans="1:19" ht="19.5" thickBot="1" x14ac:dyDescent="0.35">
      <c r="B4" s="174"/>
      <c r="C4" s="175"/>
      <c r="D4" s="166"/>
      <c r="E4" s="166"/>
      <c r="F4" s="166"/>
      <c r="G4" s="166"/>
      <c r="H4" s="166"/>
      <c r="I4" s="166"/>
    </row>
    <row r="5" spans="1:19" x14ac:dyDescent="0.25">
      <c r="A5" s="704" t="s">
        <v>9</v>
      </c>
      <c r="B5" s="706" t="s">
        <v>10</v>
      </c>
      <c r="C5" s="706" t="s">
        <v>11</v>
      </c>
      <c r="D5" s="708" t="s">
        <v>162</v>
      </c>
      <c r="E5" s="710" t="s">
        <v>163</v>
      </c>
      <c r="F5" s="712" t="s">
        <v>164</v>
      </c>
      <c r="G5" s="713"/>
      <c r="H5" s="714"/>
      <c r="I5" s="715" t="s">
        <v>0</v>
      </c>
      <c r="J5" s="716"/>
      <c r="K5" s="716"/>
      <c r="L5" s="717"/>
      <c r="M5" s="695" t="s">
        <v>165</v>
      </c>
      <c r="N5" s="697" t="s">
        <v>2</v>
      </c>
    </row>
    <row r="6" spans="1:19" ht="76.5" x14ac:dyDescent="0.25">
      <c r="A6" s="705"/>
      <c r="B6" s="707"/>
      <c r="C6" s="707"/>
      <c r="D6" s="709"/>
      <c r="E6" s="711"/>
      <c r="F6" s="177" t="s">
        <v>166</v>
      </c>
      <c r="G6" s="177" t="s">
        <v>156</v>
      </c>
      <c r="H6" s="177" t="s">
        <v>4</v>
      </c>
      <c r="I6" s="178" t="s">
        <v>167</v>
      </c>
      <c r="J6" s="178" t="s">
        <v>168</v>
      </c>
      <c r="K6" s="178" t="s">
        <v>169</v>
      </c>
      <c r="L6" s="178" t="s">
        <v>170</v>
      </c>
      <c r="M6" s="696"/>
      <c r="N6" s="698"/>
    </row>
    <row r="7" spans="1:19" s="185" customFormat="1" ht="18.75" x14ac:dyDescent="0.25">
      <c r="A7" s="179" t="s">
        <v>5</v>
      </c>
      <c r="B7" s="180" t="s">
        <v>6</v>
      </c>
      <c r="C7" s="181" t="s">
        <v>7</v>
      </c>
      <c r="D7" s="182">
        <v>1</v>
      </c>
      <c r="E7" s="182">
        <v>2</v>
      </c>
      <c r="F7" s="182">
        <v>4</v>
      </c>
      <c r="G7" s="182">
        <v>5</v>
      </c>
      <c r="H7" s="182">
        <v>6</v>
      </c>
      <c r="I7" s="182">
        <v>7</v>
      </c>
      <c r="J7" s="182">
        <v>7</v>
      </c>
      <c r="K7" s="183">
        <v>8</v>
      </c>
      <c r="L7" s="183">
        <v>9</v>
      </c>
      <c r="M7" s="183">
        <v>10</v>
      </c>
      <c r="N7" s="184">
        <v>11</v>
      </c>
    </row>
    <row r="8" spans="1:19" hidden="1" x14ac:dyDescent="0.25">
      <c r="A8" s="186" t="s">
        <v>5</v>
      </c>
      <c r="B8" s="187" t="s">
        <v>171</v>
      </c>
      <c r="C8" s="188"/>
      <c r="D8" s="189"/>
      <c r="E8" s="189"/>
      <c r="F8" s="190"/>
      <c r="G8" s="190"/>
      <c r="H8" s="190"/>
      <c r="I8" s="190"/>
      <c r="J8" s="189"/>
      <c r="K8" s="191"/>
      <c r="L8" s="191"/>
      <c r="M8" s="191"/>
      <c r="N8" s="192"/>
    </row>
    <row r="9" spans="1:19" s="198" customFormat="1" ht="31.5" hidden="1" x14ac:dyDescent="0.25">
      <c r="A9" s="186">
        <v>1</v>
      </c>
      <c r="B9" s="187" t="s">
        <v>172</v>
      </c>
      <c r="C9" s="193" t="s">
        <v>77</v>
      </c>
      <c r="D9" s="194"/>
      <c r="E9" s="195" t="s">
        <v>173</v>
      </c>
      <c r="F9" s="196">
        <v>7.48</v>
      </c>
      <c r="G9" s="194"/>
      <c r="H9" s="190"/>
      <c r="I9" s="190"/>
      <c r="J9" s="194"/>
      <c r="K9" s="197"/>
      <c r="L9" s="197"/>
      <c r="M9" s="197"/>
      <c r="N9" s="192"/>
    </row>
    <row r="10" spans="1:19" s="207" customFormat="1" ht="31.5" hidden="1" x14ac:dyDescent="0.25">
      <c r="A10" s="186" t="s">
        <v>174</v>
      </c>
      <c r="B10" s="199" t="s">
        <v>175</v>
      </c>
      <c r="C10" s="193" t="s">
        <v>77</v>
      </c>
      <c r="D10" s="200"/>
      <c r="E10" s="201">
        <v>100</v>
      </c>
      <c r="F10" s="202">
        <v>100</v>
      </c>
      <c r="G10" s="200"/>
      <c r="H10" s="203"/>
      <c r="I10" s="203"/>
      <c r="J10" s="204"/>
      <c r="K10" s="205"/>
      <c r="L10" s="205"/>
      <c r="M10" s="205"/>
      <c r="N10" s="206"/>
    </row>
    <row r="11" spans="1:19" s="214" customFormat="1" hidden="1" x14ac:dyDescent="0.25">
      <c r="A11" s="208"/>
      <c r="B11" s="209" t="s">
        <v>176</v>
      </c>
      <c r="C11" s="210"/>
      <c r="D11" s="194"/>
      <c r="E11" s="211"/>
      <c r="F11" s="212"/>
      <c r="G11" s="212"/>
      <c r="H11" s="212"/>
      <c r="I11" s="212"/>
      <c r="J11" s="204"/>
      <c r="K11" s="205"/>
      <c r="L11" s="205"/>
      <c r="M11" s="205"/>
      <c r="N11" s="213"/>
    </row>
    <row r="12" spans="1:19" s="223" customFormat="1" hidden="1" x14ac:dyDescent="0.25">
      <c r="A12" s="208"/>
      <c r="B12" s="215" t="s">
        <v>177</v>
      </c>
      <c r="C12" s="193" t="s">
        <v>77</v>
      </c>
      <c r="D12" s="216"/>
      <c r="E12" s="217">
        <v>20</v>
      </c>
      <c r="F12" s="218">
        <v>15.1</v>
      </c>
      <c r="G12" s="219"/>
      <c r="H12" s="217"/>
      <c r="I12" s="217"/>
      <c r="J12" s="220"/>
      <c r="K12" s="221"/>
      <c r="L12" s="221"/>
      <c r="M12" s="221"/>
      <c r="N12" s="222"/>
    </row>
    <row r="13" spans="1:19" s="223" customFormat="1" hidden="1" x14ac:dyDescent="0.25">
      <c r="A13" s="208"/>
      <c r="B13" s="215" t="s">
        <v>178</v>
      </c>
      <c r="C13" s="193" t="s">
        <v>77</v>
      </c>
      <c r="D13" s="216"/>
      <c r="E13" s="217">
        <v>38</v>
      </c>
      <c r="F13" s="218">
        <v>50.03</v>
      </c>
      <c r="G13" s="218"/>
      <c r="H13" s="217"/>
      <c r="I13" s="217"/>
      <c r="J13" s="220"/>
      <c r="K13" s="221"/>
      <c r="L13" s="221"/>
      <c r="M13" s="221"/>
      <c r="N13" s="222"/>
    </row>
    <row r="14" spans="1:19" s="223" customFormat="1" hidden="1" x14ac:dyDescent="0.25">
      <c r="A14" s="208"/>
      <c r="B14" s="215" t="s">
        <v>179</v>
      </c>
      <c r="C14" s="193" t="s">
        <v>77</v>
      </c>
      <c r="D14" s="216"/>
      <c r="E14" s="217">
        <v>42</v>
      </c>
      <c r="F14" s="218">
        <v>34.869999999999997</v>
      </c>
      <c r="G14" s="218"/>
      <c r="H14" s="217"/>
      <c r="I14" s="217"/>
      <c r="J14" s="220"/>
      <c r="K14" s="221"/>
      <c r="L14" s="221"/>
      <c r="M14" s="221"/>
      <c r="N14" s="222"/>
    </row>
    <row r="15" spans="1:19" s="223" customFormat="1" ht="24" hidden="1" x14ac:dyDescent="0.25">
      <c r="A15" s="186" t="s">
        <v>180</v>
      </c>
      <c r="B15" s="199" t="s">
        <v>181</v>
      </c>
      <c r="C15" s="224" t="s">
        <v>182</v>
      </c>
      <c r="D15" s="225"/>
      <c r="E15" s="226">
        <v>40</v>
      </c>
      <c r="F15" s="227">
        <v>40.08</v>
      </c>
      <c r="G15" s="225"/>
      <c r="H15" s="225"/>
      <c r="I15" s="225"/>
      <c r="J15" s="225"/>
      <c r="K15" s="228"/>
      <c r="L15" s="228"/>
      <c r="M15" s="228"/>
      <c r="N15" s="206"/>
    </row>
    <row r="16" spans="1:19" s="223" customFormat="1" hidden="1" x14ac:dyDescent="0.25">
      <c r="A16" s="186">
        <v>2</v>
      </c>
      <c r="B16" s="199" t="s">
        <v>183</v>
      </c>
      <c r="C16" s="224" t="s">
        <v>184</v>
      </c>
      <c r="D16" s="217"/>
      <c r="E16" s="226">
        <v>200000</v>
      </c>
      <c r="F16" s="229">
        <v>219999.95</v>
      </c>
      <c r="G16" s="217"/>
      <c r="H16" s="217"/>
      <c r="I16" s="217"/>
      <c r="J16" s="217"/>
      <c r="K16" s="230"/>
      <c r="L16" s="230"/>
      <c r="M16" s="230"/>
      <c r="N16" s="222"/>
    </row>
    <row r="17" spans="1:19" s="223" customFormat="1" ht="18.75" hidden="1" x14ac:dyDescent="0.25">
      <c r="A17" s="186"/>
      <c r="B17" s="231" t="s">
        <v>185</v>
      </c>
      <c r="C17" s="232" t="s">
        <v>186</v>
      </c>
      <c r="D17" s="217"/>
      <c r="E17" s="226">
        <v>4500</v>
      </c>
      <c r="F17" s="229">
        <v>7570</v>
      </c>
      <c r="G17" s="217"/>
      <c r="H17" s="217"/>
      <c r="I17" s="217"/>
      <c r="J17" s="217"/>
      <c r="K17" s="230"/>
      <c r="L17" s="230"/>
      <c r="M17" s="230"/>
      <c r="N17" s="222"/>
    </row>
    <row r="18" spans="1:19" s="223" customFormat="1" hidden="1" x14ac:dyDescent="0.25">
      <c r="A18" s="208"/>
      <c r="B18" s="233" t="s">
        <v>187</v>
      </c>
      <c r="C18" s="234" t="s">
        <v>186</v>
      </c>
      <c r="D18" s="217"/>
      <c r="E18" s="235"/>
      <c r="F18" s="217">
        <v>600</v>
      </c>
      <c r="G18" s="217"/>
      <c r="H18" s="217"/>
      <c r="I18" s="217"/>
      <c r="J18" s="217"/>
      <c r="K18" s="230"/>
      <c r="L18" s="230"/>
      <c r="M18" s="230"/>
      <c r="N18" s="222"/>
    </row>
    <row r="19" spans="1:19" s="223" customFormat="1" hidden="1" x14ac:dyDescent="0.25">
      <c r="A19" s="186"/>
      <c r="B19" s="231" t="s">
        <v>188</v>
      </c>
      <c r="C19" s="232" t="s">
        <v>77</v>
      </c>
      <c r="D19" s="217"/>
      <c r="E19" s="236">
        <v>50</v>
      </c>
      <c r="F19" s="195">
        <v>50.07</v>
      </c>
      <c r="G19" s="217"/>
      <c r="H19" s="217"/>
      <c r="I19" s="217"/>
      <c r="J19" s="217"/>
      <c r="K19" s="230"/>
      <c r="L19" s="230"/>
      <c r="M19" s="230"/>
      <c r="N19" s="222"/>
    </row>
    <row r="20" spans="1:19" s="240" customFormat="1" ht="18.75" hidden="1" x14ac:dyDescent="0.25">
      <c r="A20" s="186"/>
      <c r="B20" s="231" t="s">
        <v>189</v>
      </c>
      <c r="C20" s="232" t="s">
        <v>117</v>
      </c>
      <c r="D20" s="237"/>
      <c r="E20" s="236">
        <v>38</v>
      </c>
      <c r="F20" s="236">
        <v>39</v>
      </c>
      <c r="G20" s="238"/>
      <c r="H20" s="204"/>
      <c r="I20" s="204"/>
      <c r="J20" s="204"/>
      <c r="K20" s="239"/>
      <c r="L20" s="239"/>
      <c r="M20" s="239"/>
      <c r="N20" s="192"/>
    </row>
    <row r="21" spans="1:19" s="198" customFormat="1" ht="31.5" hidden="1" x14ac:dyDescent="0.25">
      <c r="A21" s="186"/>
      <c r="B21" s="233" t="s">
        <v>190</v>
      </c>
      <c r="C21" s="234" t="s">
        <v>191</v>
      </c>
      <c r="D21" s="226"/>
      <c r="E21" s="241"/>
      <c r="F21" s="226">
        <v>4</v>
      </c>
      <c r="G21" s="226"/>
      <c r="H21" s="226"/>
      <c r="I21" s="226"/>
      <c r="J21" s="204"/>
      <c r="K21" s="239"/>
      <c r="L21" s="239"/>
      <c r="M21" s="239"/>
      <c r="N21" s="192"/>
      <c r="P21" s="242"/>
      <c r="Q21" s="242"/>
      <c r="R21" s="242"/>
      <c r="S21" s="242"/>
    </row>
    <row r="22" spans="1:19" s="198" customFormat="1" hidden="1" x14ac:dyDescent="0.25">
      <c r="A22" s="186"/>
      <c r="B22" s="231" t="s">
        <v>192</v>
      </c>
      <c r="C22" s="232" t="s">
        <v>77</v>
      </c>
      <c r="D22" s="226"/>
      <c r="E22" s="238" t="s">
        <v>193</v>
      </c>
      <c r="F22" s="204">
        <v>40.625</v>
      </c>
      <c r="G22" s="226"/>
      <c r="H22" s="226"/>
      <c r="I22" s="226"/>
      <c r="J22" s="204"/>
      <c r="K22" s="205"/>
      <c r="L22" s="205"/>
      <c r="M22" s="205"/>
      <c r="N22" s="206"/>
      <c r="P22" s="242"/>
      <c r="Q22" s="242"/>
      <c r="R22" s="242"/>
      <c r="S22" s="242"/>
    </row>
    <row r="23" spans="1:19" s="247" customFormat="1" hidden="1" x14ac:dyDescent="0.25">
      <c r="A23" s="186">
        <v>3</v>
      </c>
      <c r="B23" s="199" t="s">
        <v>194</v>
      </c>
      <c r="C23" s="224" t="s">
        <v>195</v>
      </c>
      <c r="D23" s="243"/>
      <c r="E23" s="204">
        <v>2185</v>
      </c>
      <c r="F23" s="226">
        <v>2150</v>
      </c>
      <c r="G23" s="243"/>
      <c r="H23" s="243"/>
      <c r="I23" s="243"/>
      <c r="J23" s="244"/>
      <c r="K23" s="245"/>
      <c r="L23" s="245"/>
      <c r="M23" s="245"/>
      <c r="N23" s="246"/>
      <c r="P23" s="242"/>
      <c r="Q23" s="242"/>
      <c r="R23" s="242"/>
      <c r="S23" s="242"/>
    </row>
    <row r="24" spans="1:19" s="247" customFormat="1" ht="24" hidden="1" x14ac:dyDescent="0.25">
      <c r="A24" s="186">
        <v>4</v>
      </c>
      <c r="B24" s="199" t="s">
        <v>196</v>
      </c>
      <c r="C24" s="224" t="s">
        <v>197</v>
      </c>
      <c r="D24" s="238"/>
      <c r="E24" s="204">
        <v>7.2</v>
      </c>
      <c r="F24" s="248">
        <v>15.2</v>
      </c>
      <c r="G24" s="249"/>
      <c r="H24" s="226"/>
      <c r="I24" s="226"/>
      <c r="J24" s="249"/>
      <c r="K24" s="250"/>
      <c r="L24" s="250"/>
      <c r="M24" s="250"/>
      <c r="N24" s="206"/>
      <c r="P24" s="251"/>
      <c r="Q24" s="251"/>
      <c r="R24" s="251"/>
      <c r="S24" s="251"/>
    </row>
    <row r="25" spans="1:19" s="247" customFormat="1" hidden="1" x14ac:dyDescent="0.25">
      <c r="A25" s="186" t="s">
        <v>6</v>
      </c>
      <c r="B25" s="187" t="s">
        <v>198</v>
      </c>
      <c r="C25" s="224"/>
      <c r="D25" s="236"/>
      <c r="E25" s="252"/>
      <c r="F25" s="236"/>
      <c r="G25" s="236"/>
      <c r="H25" s="226"/>
      <c r="I25" s="226"/>
      <c r="J25" s="236"/>
      <c r="K25" s="253"/>
      <c r="L25" s="253"/>
      <c r="M25" s="253"/>
      <c r="N25" s="206"/>
      <c r="P25" s="251"/>
      <c r="Q25" s="251"/>
      <c r="R25" s="251"/>
      <c r="S25" s="251"/>
    </row>
    <row r="26" spans="1:19" s="247" customFormat="1" hidden="1" x14ac:dyDescent="0.25">
      <c r="A26" s="186">
        <v>5</v>
      </c>
      <c r="B26" s="187" t="s">
        <v>199</v>
      </c>
      <c r="C26" s="224"/>
      <c r="D26" s="238"/>
      <c r="E26" s="252"/>
      <c r="F26" s="249"/>
      <c r="G26" s="249"/>
      <c r="H26" s="226"/>
      <c r="I26" s="226"/>
      <c r="J26" s="204"/>
      <c r="K26" s="205"/>
      <c r="L26" s="205"/>
      <c r="M26" s="205"/>
      <c r="N26" s="206"/>
      <c r="P26" s="251"/>
      <c r="Q26" s="251"/>
      <c r="R26" s="251"/>
      <c r="S26" s="251"/>
    </row>
    <row r="27" spans="1:19" s="198" customFormat="1" ht="31.5" hidden="1" x14ac:dyDescent="0.25">
      <c r="A27" s="208"/>
      <c r="B27" s="254" t="s">
        <v>200</v>
      </c>
      <c r="C27" s="193" t="s">
        <v>117</v>
      </c>
      <c r="D27" s="226"/>
      <c r="E27" s="255"/>
      <c r="F27" s="256">
        <v>96</v>
      </c>
      <c r="G27" s="226"/>
      <c r="H27" s="226"/>
      <c r="I27" s="226"/>
      <c r="J27" s="226"/>
      <c r="K27" s="257"/>
      <c r="L27" s="257"/>
      <c r="M27" s="257"/>
      <c r="N27" s="206"/>
    </row>
    <row r="28" spans="1:19" s="198" customFormat="1" ht="31.5" hidden="1" x14ac:dyDescent="0.25">
      <c r="A28" s="208"/>
      <c r="B28" s="254" t="s">
        <v>201</v>
      </c>
      <c r="C28" s="193" t="s">
        <v>77</v>
      </c>
      <c r="D28" s="204"/>
      <c r="E28" s="255"/>
      <c r="F28" s="256">
        <v>100</v>
      </c>
      <c r="G28" s="237"/>
      <c r="H28" s="204"/>
      <c r="I28" s="204"/>
      <c r="J28" s="248"/>
      <c r="K28" s="258"/>
      <c r="L28" s="258"/>
      <c r="M28" s="258"/>
      <c r="N28" s="192"/>
      <c r="P28" s="259"/>
      <c r="Q28" s="259"/>
      <c r="R28" s="259"/>
      <c r="S28" s="259"/>
    </row>
    <row r="29" spans="1:19" ht="31.5" hidden="1" x14ac:dyDescent="0.25">
      <c r="A29" s="208"/>
      <c r="B29" s="254" t="s">
        <v>202</v>
      </c>
      <c r="C29" s="193" t="s">
        <v>77</v>
      </c>
      <c r="D29" s="237"/>
      <c r="E29" s="260" t="s">
        <v>203</v>
      </c>
      <c r="F29" s="218">
        <v>93.68</v>
      </c>
      <c r="G29" s="238"/>
      <c r="H29" s="204"/>
      <c r="I29" s="204"/>
      <c r="J29" s="238"/>
      <c r="K29" s="261"/>
      <c r="L29" s="261"/>
      <c r="M29" s="261"/>
      <c r="N29" s="222"/>
      <c r="P29" s="259"/>
      <c r="Q29" s="259"/>
      <c r="R29" s="259"/>
      <c r="S29" s="259"/>
    </row>
    <row r="30" spans="1:19" s="198" customFormat="1" hidden="1" x14ac:dyDescent="0.25">
      <c r="A30" s="208"/>
      <c r="B30" s="254" t="s">
        <v>204</v>
      </c>
      <c r="C30" s="193" t="s">
        <v>77</v>
      </c>
      <c r="D30" s="225"/>
      <c r="E30" s="260" t="s">
        <v>205</v>
      </c>
      <c r="F30" s="262">
        <v>95.1</v>
      </c>
      <c r="G30" s="204"/>
      <c r="H30" s="263"/>
      <c r="I30" s="263"/>
      <c r="J30" s="225"/>
      <c r="K30" s="228"/>
      <c r="L30" s="228"/>
      <c r="M30" s="228"/>
      <c r="N30" s="206"/>
    </row>
    <row r="31" spans="1:19" s="198" customFormat="1" ht="31.5" hidden="1" x14ac:dyDescent="0.25">
      <c r="A31" s="208"/>
      <c r="B31" s="254" t="s">
        <v>206</v>
      </c>
      <c r="C31" s="193" t="s">
        <v>77</v>
      </c>
      <c r="D31" s="225"/>
      <c r="E31" s="220" t="s">
        <v>205</v>
      </c>
      <c r="F31" s="262">
        <v>95.5</v>
      </c>
      <c r="G31" s="204"/>
      <c r="H31" s="263"/>
      <c r="I31" s="263"/>
      <c r="J31" s="225"/>
      <c r="K31" s="228"/>
      <c r="L31" s="228"/>
      <c r="M31" s="228"/>
      <c r="N31" s="206"/>
    </row>
    <row r="32" spans="1:19" s="198" customFormat="1" ht="31.5" hidden="1" x14ac:dyDescent="0.25">
      <c r="A32" s="208"/>
      <c r="B32" s="254" t="s">
        <v>207</v>
      </c>
      <c r="C32" s="193" t="s">
        <v>77</v>
      </c>
      <c r="D32" s="217"/>
      <c r="E32" s="219" t="s">
        <v>208</v>
      </c>
      <c r="F32" s="262">
        <v>85.2</v>
      </c>
      <c r="G32" s="256"/>
      <c r="H32" s="263"/>
      <c r="I32" s="263"/>
      <c r="J32" s="256"/>
      <c r="K32" s="264"/>
      <c r="L32" s="264"/>
      <c r="M32" s="264"/>
      <c r="N32" s="222"/>
    </row>
    <row r="33" spans="1:19" s="198" customFormat="1" hidden="1" x14ac:dyDescent="0.25">
      <c r="A33" s="186">
        <v>6</v>
      </c>
      <c r="B33" s="187" t="s">
        <v>209</v>
      </c>
      <c r="C33" s="224"/>
      <c r="D33" s="219"/>
      <c r="E33" s="252"/>
      <c r="F33" s="219"/>
      <c r="G33" s="219"/>
      <c r="H33" s="219"/>
      <c r="I33" s="219"/>
      <c r="J33" s="219"/>
      <c r="K33" s="265"/>
      <c r="L33" s="265"/>
      <c r="M33" s="265"/>
      <c r="N33" s="222"/>
      <c r="P33" s="266"/>
      <c r="Q33" s="266"/>
      <c r="R33" s="266"/>
      <c r="S33" s="266"/>
    </row>
    <row r="34" spans="1:19" s="198" customFormat="1" ht="63" hidden="1" x14ac:dyDescent="0.25">
      <c r="A34" s="208"/>
      <c r="B34" s="254" t="s">
        <v>210</v>
      </c>
      <c r="C34" s="193" t="s">
        <v>191</v>
      </c>
      <c r="D34" s="260"/>
      <c r="E34" s="217">
        <v>108</v>
      </c>
      <c r="F34" s="267">
        <v>108</v>
      </c>
      <c r="G34" s="268"/>
      <c r="H34" s="269"/>
      <c r="I34" s="269"/>
      <c r="J34" s="219"/>
      <c r="K34" s="265"/>
      <c r="L34" s="265"/>
      <c r="M34" s="265"/>
      <c r="N34" s="222"/>
      <c r="P34" s="266"/>
      <c r="Q34" s="266"/>
      <c r="R34" s="266"/>
      <c r="S34" s="266"/>
    </row>
    <row r="35" spans="1:19" s="198" customFormat="1" hidden="1" x14ac:dyDescent="0.25">
      <c r="A35" s="208"/>
      <c r="B35" s="254" t="s">
        <v>211</v>
      </c>
      <c r="C35" s="193" t="s">
        <v>77</v>
      </c>
      <c r="D35" s="260"/>
      <c r="E35" s="269">
        <v>38.4</v>
      </c>
      <c r="F35" s="262">
        <v>49.112426035502956</v>
      </c>
      <c r="G35" s="262"/>
      <c r="H35" s="269"/>
      <c r="I35" s="269"/>
      <c r="J35" s="219"/>
      <c r="K35" s="265"/>
      <c r="L35" s="265"/>
      <c r="M35" s="265"/>
      <c r="N35" s="222"/>
    </row>
    <row r="36" spans="1:19" s="198" customFormat="1" hidden="1" x14ac:dyDescent="0.25">
      <c r="A36" s="270"/>
      <c r="B36" s="271" t="s">
        <v>212</v>
      </c>
      <c r="C36" s="210" t="s">
        <v>77</v>
      </c>
      <c r="D36" s="218"/>
      <c r="E36" s="262">
        <v>37</v>
      </c>
      <c r="F36" s="218">
        <v>51.327433628318587</v>
      </c>
      <c r="G36" s="218"/>
      <c r="H36" s="218"/>
      <c r="I36" s="218"/>
      <c r="J36" s="218"/>
      <c r="K36" s="272"/>
      <c r="L36" s="272"/>
      <c r="M36" s="272"/>
      <c r="N36" s="222"/>
    </row>
    <row r="37" spans="1:19" s="198" customFormat="1" hidden="1" x14ac:dyDescent="0.25">
      <c r="A37" s="270"/>
      <c r="B37" s="271" t="s">
        <v>213</v>
      </c>
      <c r="C37" s="210" t="s">
        <v>77</v>
      </c>
      <c r="D37" s="218"/>
      <c r="E37" s="262">
        <v>44</v>
      </c>
      <c r="F37" s="218">
        <v>60.215053763440864</v>
      </c>
      <c r="G37" s="218"/>
      <c r="H37" s="219"/>
      <c r="I37" s="219"/>
      <c r="J37" s="218"/>
      <c r="K37" s="272"/>
      <c r="L37" s="272"/>
      <c r="M37" s="272"/>
      <c r="N37" s="222"/>
      <c r="P37" s="266"/>
      <c r="Q37" s="266"/>
      <c r="R37" s="266"/>
      <c r="S37" s="266"/>
    </row>
    <row r="38" spans="1:19" s="198" customFormat="1" hidden="1" x14ac:dyDescent="0.25">
      <c r="A38" s="270"/>
      <c r="B38" s="271" t="s">
        <v>214</v>
      </c>
      <c r="C38" s="210" t="s">
        <v>77</v>
      </c>
      <c r="D38" s="225"/>
      <c r="E38" s="262">
        <v>33</v>
      </c>
      <c r="F38" s="262">
        <v>38.532110091743121</v>
      </c>
      <c r="G38" s="204"/>
      <c r="H38" s="263"/>
      <c r="I38" s="263"/>
      <c r="J38" s="225"/>
      <c r="K38" s="228"/>
      <c r="L38" s="228"/>
      <c r="M38" s="228"/>
      <c r="N38" s="206"/>
    </row>
    <row r="39" spans="1:19" s="198" customFormat="1" hidden="1" x14ac:dyDescent="0.25">
      <c r="A39" s="270"/>
      <c r="B39" s="271" t="s">
        <v>215</v>
      </c>
      <c r="C39" s="210" t="s">
        <v>77</v>
      </c>
      <c r="D39" s="217"/>
      <c r="E39" s="262">
        <v>39</v>
      </c>
      <c r="F39" s="269">
        <v>43.478260869565219</v>
      </c>
      <c r="G39" s="217"/>
      <c r="H39" s="273"/>
      <c r="I39" s="269"/>
      <c r="J39" s="217"/>
      <c r="K39" s="230"/>
      <c r="L39" s="230"/>
      <c r="M39" s="230"/>
      <c r="N39" s="222"/>
    </row>
    <row r="40" spans="1:19" s="198" customFormat="1" hidden="1" x14ac:dyDescent="0.25">
      <c r="A40" s="270"/>
      <c r="B40" s="274" t="s">
        <v>216</v>
      </c>
      <c r="C40" s="193" t="s">
        <v>217</v>
      </c>
      <c r="D40" s="275"/>
      <c r="E40" s="262"/>
      <c r="F40" s="256">
        <v>17</v>
      </c>
      <c r="G40" s="275"/>
      <c r="H40" s="276"/>
      <c r="I40" s="269"/>
      <c r="J40" s="262"/>
      <c r="K40" s="277"/>
      <c r="L40" s="277"/>
      <c r="M40" s="277"/>
      <c r="N40" s="222"/>
    </row>
    <row r="41" spans="1:19" s="198" customFormat="1" ht="26.25" customHeight="1" x14ac:dyDescent="0.25">
      <c r="A41" s="186">
        <v>7</v>
      </c>
      <c r="B41" s="187" t="s">
        <v>218</v>
      </c>
      <c r="C41" s="224"/>
      <c r="D41" s="275"/>
      <c r="E41" s="252"/>
      <c r="F41" s="220"/>
      <c r="G41" s="275"/>
      <c r="H41" s="276"/>
      <c r="I41" s="269"/>
      <c r="J41" s="262"/>
      <c r="K41" s="277"/>
      <c r="L41" s="277"/>
      <c r="M41" s="277"/>
      <c r="N41" s="222"/>
    </row>
    <row r="42" spans="1:19" s="198" customFormat="1" ht="26.25" customHeight="1" x14ac:dyDescent="0.25">
      <c r="A42" s="208"/>
      <c r="B42" s="254" t="s">
        <v>219</v>
      </c>
      <c r="C42" s="193" t="s">
        <v>117</v>
      </c>
      <c r="D42" s="326">
        <v>87</v>
      </c>
      <c r="E42" s="318"/>
      <c r="F42" s="319">
        <v>90</v>
      </c>
      <c r="G42" s="326">
        <v>87</v>
      </c>
      <c r="H42" s="335">
        <v>89</v>
      </c>
      <c r="I42" s="328"/>
      <c r="J42" s="320"/>
      <c r="K42" s="337"/>
      <c r="L42" s="693" t="s">
        <v>244</v>
      </c>
      <c r="M42" s="691" t="s">
        <v>243</v>
      </c>
      <c r="N42" s="222"/>
    </row>
    <row r="43" spans="1:19" s="198" customFormat="1" ht="26.25" customHeight="1" x14ac:dyDescent="0.25">
      <c r="A43" s="208"/>
      <c r="B43" s="254" t="s">
        <v>220</v>
      </c>
      <c r="C43" s="193" t="s">
        <v>77</v>
      </c>
      <c r="D43" s="317">
        <f>87/108*100</f>
        <v>80.555555555555557</v>
      </c>
      <c r="E43" s="318" t="s">
        <v>221</v>
      </c>
      <c r="F43" s="320">
        <v>83.333333333333343</v>
      </c>
      <c r="G43" s="330">
        <f>86/106*100</f>
        <v>81.132075471698116</v>
      </c>
      <c r="H43" s="327">
        <f>89/106*100</f>
        <v>83.962264150943398</v>
      </c>
      <c r="I43" s="328"/>
      <c r="J43" s="320"/>
      <c r="K43" s="338"/>
      <c r="L43" s="694"/>
      <c r="M43" s="692"/>
      <c r="N43" s="222"/>
    </row>
    <row r="44" spans="1:19" s="198" customFormat="1" ht="26.25" customHeight="1" x14ac:dyDescent="0.25">
      <c r="A44" s="208"/>
      <c r="B44" s="254" t="s">
        <v>222</v>
      </c>
      <c r="C44" s="193" t="s">
        <v>223</v>
      </c>
      <c r="D44" s="317">
        <f>430/462629*10000</f>
        <v>9.2947048282749254</v>
      </c>
      <c r="E44" s="321">
        <v>12</v>
      </c>
      <c r="F44" s="320">
        <v>12.108240851669786</v>
      </c>
      <c r="G44" s="317">
        <f>427/469102*10000</f>
        <v>9.10249796419542</v>
      </c>
      <c r="H44" s="331">
        <v>12.1</v>
      </c>
      <c r="I44" s="328"/>
      <c r="J44" s="320"/>
      <c r="K44" s="337"/>
      <c r="L44" s="339" t="s">
        <v>245</v>
      </c>
      <c r="M44" s="329"/>
      <c r="N44" s="222"/>
    </row>
    <row r="45" spans="1:19" s="198" customFormat="1" ht="30.75" customHeight="1" x14ac:dyDescent="0.25">
      <c r="A45" s="208"/>
      <c r="B45" s="254" t="s">
        <v>71</v>
      </c>
      <c r="C45" s="280" t="s">
        <v>79</v>
      </c>
      <c r="D45" s="324">
        <v>15.75</v>
      </c>
      <c r="E45" s="322">
        <v>17.43</v>
      </c>
      <c r="F45" s="323">
        <v>15.45</v>
      </c>
      <c r="G45" s="320">
        <v>7.78</v>
      </c>
      <c r="H45" s="336">
        <v>15.45</v>
      </c>
      <c r="I45" s="328"/>
      <c r="J45" s="320"/>
      <c r="K45" s="337"/>
      <c r="L45" s="340" t="s">
        <v>244</v>
      </c>
      <c r="M45" s="332"/>
      <c r="N45" s="206"/>
    </row>
    <row r="46" spans="1:19" s="198" customFormat="1" ht="29.25" customHeight="1" x14ac:dyDescent="0.25">
      <c r="A46" s="208"/>
      <c r="B46" s="254" t="s">
        <v>224</v>
      </c>
      <c r="C46" s="280" t="s">
        <v>79</v>
      </c>
      <c r="D46" s="324">
        <v>0.86</v>
      </c>
      <c r="E46" s="322" t="s">
        <v>225</v>
      </c>
      <c r="F46" s="321">
        <v>0.5</v>
      </c>
      <c r="G46" s="324">
        <v>0.55000000000000004</v>
      </c>
      <c r="H46" s="336">
        <v>0.5</v>
      </c>
      <c r="I46" s="328"/>
      <c r="J46" s="320"/>
      <c r="K46" s="337"/>
      <c r="L46" s="340" t="s">
        <v>244</v>
      </c>
      <c r="M46" s="333"/>
      <c r="N46" s="222"/>
    </row>
    <row r="47" spans="1:19" s="198" customFormat="1" ht="36.75" customHeight="1" thickBot="1" x14ac:dyDescent="0.3">
      <c r="A47" s="208"/>
      <c r="B47" s="281" t="s">
        <v>226</v>
      </c>
      <c r="C47" s="193" t="s">
        <v>77</v>
      </c>
      <c r="D47" s="325">
        <v>20.350000000000001</v>
      </c>
      <c r="E47" s="324" t="s">
        <v>227</v>
      </c>
      <c r="F47" s="325">
        <v>19.965342732804285</v>
      </c>
      <c r="G47" s="325">
        <v>19.965342732804285</v>
      </c>
      <c r="H47" s="325">
        <v>19.97</v>
      </c>
      <c r="I47" s="328"/>
      <c r="J47" s="320"/>
      <c r="K47" s="337"/>
      <c r="L47" s="341" t="s">
        <v>246</v>
      </c>
      <c r="M47" s="334"/>
      <c r="N47" s="222"/>
    </row>
    <row r="48" spans="1:19" s="198" customFormat="1" hidden="1" x14ac:dyDescent="0.25">
      <c r="A48" s="186">
        <v>8</v>
      </c>
      <c r="B48" s="187" t="s">
        <v>228</v>
      </c>
      <c r="C48" s="224"/>
      <c r="D48" s="283"/>
      <c r="E48" s="252"/>
      <c r="F48" s="278"/>
      <c r="G48" s="284"/>
      <c r="H48" s="285"/>
      <c r="I48" s="269"/>
      <c r="J48" s="260"/>
      <c r="K48" s="282"/>
      <c r="L48" s="282"/>
      <c r="M48" s="282"/>
      <c r="N48" s="222"/>
    </row>
    <row r="49" spans="1:20" s="198" customFormat="1" hidden="1" x14ac:dyDescent="0.25">
      <c r="A49" s="208"/>
      <c r="B49" s="254" t="s">
        <v>229</v>
      </c>
      <c r="C49" s="193" t="s">
        <v>77</v>
      </c>
      <c r="D49" s="286"/>
      <c r="E49" s="260" t="s">
        <v>230</v>
      </c>
      <c r="F49" s="268">
        <v>3.5001320574409469</v>
      </c>
      <c r="G49" s="287"/>
      <c r="H49" s="287"/>
      <c r="I49" s="269"/>
      <c r="J49" s="220"/>
      <c r="K49" s="221"/>
      <c r="L49" s="221"/>
      <c r="M49" s="221"/>
      <c r="N49" s="222"/>
    </row>
    <row r="50" spans="1:20" s="198" customFormat="1" hidden="1" x14ac:dyDescent="0.25">
      <c r="A50" s="270"/>
      <c r="B50" s="271" t="s">
        <v>231</v>
      </c>
      <c r="C50" s="210" t="s">
        <v>77</v>
      </c>
      <c r="D50" s="286"/>
      <c r="E50" s="211"/>
      <c r="F50" s="268">
        <v>5.09</v>
      </c>
      <c r="G50" s="286"/>
      <c r="H50" s="287"/>
      <c r="I50" s="269"/>
      <c r="J50" s="219"/>
      <c r="K50" s="265"/>
      <c r="L50" s="265"/>
      <c r="M50" s="265"/>
      <c r="N50" s="222"/>
      <c r="P50" s="288"/>
    </row>
    <row r="51" spans="1:20" s="295" customFormat="1" ht="31.5" hidden="1" x14ac:dyDescent="0.25">
      <c r="A51" s="208"/>
      <c r="B51" s="254" t="s">
        <v>232</v>
      </c>
      <c r="C51" s="193" t="s">
        <v>76</v>
      </c>
      <c r="D51" s="289"/>
      <c r="E51" s="260" t="s">
        <v>233</v>
      </c>
      <c r="F51" s="290">
        <v>7380</v>
      </c>
      <c r="G51" s="291"/>
      <c r="H51" s="292"/>
      <c r="I51" s="279"/>
      <c r="J51" s="275"/>
      <c r="K51" s="293"/>
      <c r="L51" s="293"/>
      <c r="M51" s="293"/>
      <c r="N51" s="294"/>
    </row>
    <row r="52" spans="1:20" s="198" customFormat="1" ht="31.5" hidden="1" x14ac:dyDescent="0.25">
      <c r="A52" s="208"/>
      <c r="B52" s="254" t="s">
        <v>234</v>
      </c>
      <c r="C52" s="193" t="s">
        <v>76</v>
      </c>
      <c r="D52" s="225"/>
      <c r="E52" s="241" t="s">
        <v>235</v>
      </c>
      <c r="F52" s="256">
        <v>6300</v>
      </c>
      <c r="G52" s="204"/>
      <c r="H52" s="263"/>
      <c r="I52" s="263"/>
      <c r="J52" s="225"/>
      <c r="K52" s="228"/>
      <c r="L52" s="228"/>
      <c r="M52" s="228"/>
      <c r="N52" s="206"/>
    </row>
    <row r="53" spans="1:20" s="198" customFormat="1" hidden="1" x14ac:dyDescent="0.25">
      <c r="A53" s="208"/>
      <c r="B53" s="254" t="s">
        <v>236</v>
      </c>
      <c r="C53" s="193" t="s">
        <v>77</v>
      </c>
      <c r="D53" s="268"/>
      <c r="E53" s="260" t="s">
        <v>237</v>
      </c>
      <c r="F53" s="268">
        <v>50.65</v>
      </c>
      <c r="G53" s="260"/>
      <c r="H53" s="269"/>
      <c r="I53" s="269"/>
      <c r="J53" s="260"/>
      <c r="K53" s="282"/>
      <c r="L53" s="282"/>
      <c r="M53" s="282"/>
      <c r="N53" s="222"/>
      <c r="P53" s="266"/>
      <c r="Q53" s="266"/>
      <c r="R53" s="266"/>
      <c r="S53" s="266"/>
      <c r="T53" s="266"/>
    </row>
    <row r="54" spans="1:20" s="198" customFormat="1" hidden="1" x14ac:dyDescent="0.25">
      <c r="A54" s="186">
        <v>9</v>
      </c>
      <c r="B54" s="187" t="s">
        <v>238</v>
      </c>
      <c r="C54" s="224"/>
      <c r="D54" s="296"/>
      <c r="E54" s="252"/>
      <c r="F54" s="296"/>
      <c r="G54" s="297"/>
      <c r="H54" s="269"/>
      <c r="I54" s="269"/>
      <c r="J54" s="298"/>
      <c r="K54" s="299"/>
      <c r="L54" s="299"/>
      <c r="M54" s="299"/>
      <c r="N54" s="246"/>
      <c r="P54" s="266"/>
      <c r="Q54" s="266"/>
      <c r="R54" s="266"/>
      <c r="S54" s="266"/>
      <c r="T54" s="266"/>
    </row>
    <row r="55" spans="1:20" s="198" customFormat="1" hidden="1" x14ac:dyDescent="0.25">
      <c r="A55" s="208"/>
      <c r="B55" s="254" t="s">
        <v>239</v>
      </c>
      <c r="C55" s="193" t="s">
        <v>77</v>
      </c>
      <c r="D55" s="241"/>
      <c r="E55" s="268">
        <v>85</v>
      </c>
      <c r="F55" s="267">
        <v>84.9</v>
      </c>
      <c r="G55" s="267"/>
      <c r="H55" s="267"/>
      <c r="I55" s="269"/>
      <c r="J55" s="219"/>
      <c r="K55" s="265"/>
      <c r="L55" s="265"/>
      <c r="M55" s="265"/>
      <c r="N55" s="222"/>
    </row>
    <row r="56" spans="1:20" s="198" customFormat="1" ht="31.5" hidden="1" x14ac:dyDescent="0.25">
      <c r="A56" s="208"/>
      <c r="B56" s="254" t="s">
        <v>240</v>
      </c>
      <c r="C56" s="193" t="s">
        <v>77</v>
      </c>
      <c r="D56" s="241"/>
      <c r="E56" s="268">
        <v>65</v>
      </c>
      <c r="F56" s="268">
        <v>70.635022522522519</v>
      </c>
      <c r="G56" s="267"/>
      <c r="H56" s="267"/>
      <c r="I56" s="269"/>
      <c r="J56" s="218"/>
      <c r="K56" s="272"/>
      <c r="L56" s="272"/>
      <c r="M56" s="272"/>
      <c r="N56" s="222"/>
    </row>
    <row r="57" spans="1:20" s="198" customFormat="1" ht="31.5" hidden="1" x14ac:dyDescent="0.25">
      <c r="A57" s="208"/>
      <c r="B57" s="254" t="s">
        <v>241</v>
      </c>
      <c r="C57" s="193" t="s">
        <v>77</v>
      </c>
      <c r="D57" s="260"/>
      <c r="E57" s="268">
        <v>95</v>
      </c>
      <c r="F57" s="268">
        <v>96</v>
      </c>
      <c r="G57" s="260"/>
      <c r="H57" s="269"/>
      <c r="I57" s="269"/>
      <c r="J57" s="260"/>
      <c r="K57" s="282"/>
      <c r="L57" s="282"/>
      <c r="M57" s="282"/>
      <c r="N57" s="222"/>
    </row>
    <row r="58" spans="1:20" ht="16.5" hidden="1" thickBot="1" x14ac:dyDescent="0.3">
      <c r="A58" s="300"/>
      <c r="B58" s="301"/>
      <c r="C58" s="302"/>
      <c r="D58" s="303"/>
      <c r="E58" s="303"/>
      <c r="F58" s="304"/>
      <c r="G58" s="304"/>
      <c r="H58" s="304"/>
      <c r="I58" s="304"/>
      <c r="J58" s="303"/>
      <c r="K58" s="305"/>
      <c r="L58" s="305"/>
      <c r="M58" s="305"/>
      <c r="N58" s="306"/>
    </row>
    <row r="59" spans="1:20" x14ac:dyDescent="0.25">
      <c r="A59" s="699"/>
      <c r="B59" s="699"/>
      <c r="C59" s="699"/>
      <c r="D59" s="699"/>
      <c r="E59" s="699"/>
      <c r="F59" s="699"/>
      <c r="G59" s="699"/>
      <c r="H59" s="699"/>
      <c r="I59" s="699"/>
      <c r="J59" s="699"/>
      <c r="K59" s="699"/>
      <c r="L59" s="699"/>
      <c r="M59" s="699"/>
      <c r="N59" s="699"/>
    </row>
    <row r="60" spans="1:20" x14ac:dyDescent="0.25">
      <c r="A60" s="700"/>
      <c r="B60" s="700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8"/>
    </row>
    <row r="61" spans="1:20" s="310" customFormat="1" ht="12.75" x14ac:dyDescent="0.25">
      <c r="A61" s="309"/>
      <c r="B61" s="690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0"/>
    </row>
    <row r="62" spans="1:20" s="310" customFormat="1" ht="12.75" x14ac:dyDescent="0.25">
      <c r="A62" s="311"/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</row>
    <row r="63" spans="1:20" s="310" customFormat="1" ht="12.75" x14ac:dyDescent="0.25">
      <c r="A63" s="312"/>
      <c r="B63" s="690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</row>
    <row r="64" spans="1:20" x14ac:dyDescent="0.25">
      <c r="F64" s="315"/>
      <c r="G64" s="315"/>
    </row>
    <row r="65" spans="1:14" x14ac:dyDescent="0.25">
      <c r="F65" s="315"/>
      <c r="G65" s="315"/>
    </row>
    <row r="66" spans="1:14" x14ac:dyDescent="0.25">
      <c r="A66" s="170"/>
      <c r="B66" s="170"/>
      <c r="C66" s="170"/>
      <c r="F66" s="316"/>
      <c r="G66" s="316"/>
    </row>
    <row r="67" spans="1:14" x14ac:dyDescent="0.25">
      <c r="A67" s="170"/>
      <c r="B67" s="170"/>
      <c r="C67" s="170"/>
      <c r="F67" s="316"/>
      <c r="G67" s="316"/>
    </row>
    <row r="68" spans="1:14" x14ac:dyDescent="0.25">
      <c r="A68" s="170"/>
      <c r="B68" s="170"/>
      <c r="C68" s="170"/>
    </row>
    <row r="69" spans="1:14" x14ac:dyDescent="0.25">
      <c r="A69" s="170"/>
      <c r="B69" s="170"/>
      <c r="C69" s="170"/>
    </row>
    <row r="70" spans="1:14" x14ac:dyDescent="0.25">
      <c r="A70" s="170"/>
      <c r="B70" s="170"/>
      <c r="C70" s="170"/>
    </row>
    <row r="71" spans="1:14" x14ac:dyDescent="0.25">
      <c r="A71" s="170"/>
      <c r="B71" s="170"/>
      <c r="C71" s="170"/>
    </row>
    <row r="72" spans="1:14" x14ac:dyDescent="0.25">
      <c r="A72" s="170"/>
      <c r="B72" s="170"/>
      <c r="C72" s="170"/>
    </row>
    <row r="73" spans="1:14" x14ac:dyDescent="0.25">
      <c r="A73" s="170"/>
      <c r="B73" s="170"/>
      <c r="C73" s="170"/>
    </row>
    <row r="74" spans="1:14" x14ac:dyDescent="0.25">
      <c r="A74" s="170"/>
      <c r="B74" s="170"/>
      <c r="C74" s="170"/>
    </row>
    <row r="75" spans="1:14" x14ac:dyDescent="0.25">
      <c r="A75" s="170"/>
      <c r="B75" s="170"/>
      <c r="C75" s="170"/>
    </row>
    <row r="76" spans="1:14" x14ac:dyDescent="0.25">
      <c r="A76" s="170"/>
      <c r="B76" s="170"/>
      <c r="C76" s="170"/>
      <c r="N76" s="170"/>
    </row>
    <row r="77" spans="1:14" x14ac:dyDescent="0.25">
      <c r="A77" s="170"/>
      <c r="B77" s="170"/>
      <c r="C77" s="170"/>
      <c r="N77" s="170"/>
    </row>
    <row r="78" spans="1:14" x14ac:dyDescent="0.25">
      <c r="A78" s="170"/>
      <c r="B78" s="170"/>
      <c r="C78" s="170"/>
      <c r="N78" s="170"/>
    </row>
    <row r="79" spans="1:14" x14ac:dyDescent="0.25">
      <c r="A79" s="170"/>
      <c r="B79" s="170"/>
      <c r="C79" s="170"/>
      <c r="N79" s="170"/>
    </row>
    <row r="80" spans="1:14" x14ac:dyDescent="0.25">
      <c r="A80" s="170"/>
      <c r="B80" s="170"/>
      <c r="C80" s="170"/>
      <c r="N80" s="170"/>
    </row>
    <row r="81" s="170" customFormat="1" x14ac:dyDescent="0.25"/>
    <row r="82" s="170" customFormat="1" x14ac:dyDescent="0.25"/>
    <row r="83" s="170" customFormat="1" x14ac:dyDescent="0.25"/>
    <row r="84" s="170" customFormat="1" x14ac:dyDescent="0.25"/>
    <row r="85" s="170" customFormat="1" x14ac:dyDescent="0.25"/>
    <row r="86" s="170" customFormat="1" x14ac:dyDescent="0.25"/>
    <row r="87" s="170" customFormat="1" x14ac:dyDescent="0.25"/>
    <row r="88" s="170" customFormat="1" x14ac:dyDescent="0.25"/>
    <row r="89" s="170" customFormat="1" x14ac:dyDescent="0.25"/>
    <row r="90" s="170" customFormat="1" x14ac:dyDescent="0.25"/>
    <row r="91" s="170" customFormat="1" x14ac:dyDescent="0.25"/>
    <row r="92" s="170" customFormat="1" x14ac:dyDescent="0.25"/>
    <row r="93" s="170" customFormat="1" x14ac:dyDescent="0.25"/>
    <row r="94" s="170" customFormat="1" x14ac:dyDescent="0.25"/>
    <row r="95" s="170" customFormat="1" x14ac:dyDescent="0.25"/>
    <row r="96" s="170" customFormat="1" x14ac:dyDescent="0.25"/>
    <row r="97" s="170" customFormat="1" x14ac:dyDescent="0.25"/>
    <row r="98" s="170" customFormat="1" x14ac:dyDescent="0.25"/>
    <row r="99" s="170" customFormat="1" x14ac:dyDescent="0.25"/>
    <row r="100" s="170" customFormat="1" x14ac:dyDescent="0.25"/>
    <row r="101" s="170" customFormat="1" x14ac:dyDescent="0.25"/>
    <row r="204" spans="2:2" s="170" customFormat="1" x14ac:dyDescent="0.25">
      <c r="B204" s="313" t="s">
        <v>242</v>
      </c>
    </row>
  </sheetData>
  <mergeCells count="19">
    <mergeCell ref="A1:B1"/>
    <mergeCell ref="A2:N2"/>
    <mergeCell ref="A3:N3"/>
    <mergeCell ref="A5:A6"/>
    <mergeCell ref="B5:B6"/>
    <mergeCell ref="C5:C6"/>
    <mergeCell ref="D5:D6"/>
    <mergeCell ref="E5:E6"/>
    <mergeCell ref="F5:H5"/>
    <mergeCell ref="I5:L5"/>
    <mergeCell ref="B63:N63"/>
    <mergeCell ref="M42:M43"/>
    <mergeCell ref="L42:L43"/>
    <mergeCell ref="M5:M6"/>
    <mergeCell ref="N5:N6"/>
    <mergeCell ref="A59:N59"/>
    <mergeCell ref="A60:B60"/>
    <mergeCell ref="B61:N61"/>
    <mergeCell ref="B62:N62"/>
  </mergeCells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9"/>
  <sheetViews>
    <sheetView workbookViewId="0">
      <pane ySplit="7" topLeftCell="A68" activePane="bottomLeft" state="frozen"/>
      <selection pane="bottomLeft" activeCell="G51" sqref="G51"/>
    </sheetView>
  </sheetViews>
  <sheetFormatPr defaultRowHeight="12.75" x14ac:dyDescent="0.2"/>
  <cols>
    <col min="1" max="1" width="4.5" style="7" customWidth="1"/>
    <col min="2" max="2" width="25.75" style="7" customWidth="1"/>
    <col min="3" max="3" width="9" style="7"/>
    <col min="4" max="4" width="9.625" style="48" bestFit="1" customWidth="1"/>
    <col min="5" max="5" width="9.625" style="350" customWidth="1"/>
    <col min="6" max="6" width="9.375" style="49" customWidth="1"/>
    <col min="7" max="7" width="9.75" style="49" bestFit="1" customWidth="1"/>
    <col min="8" max="8" width="10.5" style="49" bestFit="1" customWidth="1"/>
    <col min="9" max="9" width="9.875" style="49" bestFit="1" customWidth="1"/>
    <col min="10" max="10" width="10.75" style="50" customWidth="1"/>
    <col min="11" max="13" width="9" style="50"/>
    <col min="14" max="14" width="14.25" style="1" customWidth="1"/>
    <col min="15" max="15" width="14.875" style="7" customWidth="1"/>
    <col min="16" max="16384" width="9" style="7"/>
  </cols>
  <sheetData>
    <row r="1" spans="1:17" ht="15.75" x14ac:dyDescent="0.25">
      <c r="A1" s="633" t="s">
        <v>8</v>
      </c>
      <c r="B1" s="633"/>
      <c r="C1" s="2"/>
      <c r="D1" s="3"/>
      <c r="E1" s="346"/>
      <c r="F1" s="4"/>
      <c r="G1" s="4"/>
      <c r="H1" s="4"/>
      <c r="I1" s="4"/>
      <c r="J1" s="5"/>
      <c r="K1" s="5"/>
      <c r="L1" s="5"/>
      <c r="M1" s="5"/>
      <c r="N1" s="6"/>
      <c r="O1" s="2"/>
    </row>
    <row r="2" spans="1:17" ht="15.75" customHeight="1" x14ac:dyDescent="0.25">
      <c r="A2" s="637" t="s">
        <v>157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</row>
    <row r="3" spans="1:17" ht="15.75" x14ac:dyDescent="0.25">
      <c r="A3" s="636" t="s">
        <v>158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</row>
    <row r="4" spans="1:17" ht="16.5" thickBot="1" x14ac:dyDescent="0.3">
      <c r="A4" s="163"/>
      <c r="B4" s="163"/>
      <c r="C4" s="163"/>
      <c r="D4" s="163"/>
      <c r="E4" s="347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7" ht="12.75" customHeight="1" x14ac:dyDescent="0.2">
      <c r="A5" s="652" t="s">
        <v>9</v>
      </c>
      <c r="B5" s="654" t="s">
        <v>10</v>
      </c>
      <c r="C5" s="654" t="s">
        <v>11</v>
      </c>
      <c r="D5" s="730" t="s">
        <v>162</v>
      </c>
      <c r="E5" s="718" t="s">
        <v>163</v>
      </c>
      <c r="F5" s="656" t="s">
        <v>152</v>
      </c>
      <c r="G5" s="657"/>
      <c r="H5" s="657"/>
      <c r="I5" s="658"/>
      <c r="J5" s="656" t="s">
        <v>0</v>
      </c>
      <c r="K5" s="657"/>
      <c r="L5" s="657"/>
      <c r="M5" s="658"/>
      <c r="N5" s="659" t="s">
        <v>1</v>
      </c>
      <c r="O5" s="650" t="s">
        <v>2</v>
      </c>
    </row>
    <row r="6" spans="1:17" ht="96" customHeight="1" x14ac:dyDescent="0.2">
      <c r="A6" s="653"/>
      <c r="B6" s="655"/>
      <c r="C6" s="655"/>
      <c r="D6" s="639"/>
      <c r="E6" s="719"/>
      <c r="F6" s="164" t="s">
        <v>3</v>
      </c>
      <c r="G6" s="164" t="s">
        <v>155</v>
      </c>
      <c r="H6" s="164" t="s">
        <v>156</v>
      </c>
      <c r="I6" s="164" t="s">
        <v>4</v>
      </c>
      <c r="J6" s="164" t="s">
        <v>247</v>
      </c>
      <c r="K6" s="164" t="s">
        <v>168</v>
      </c>
      <c r="L6" s="164" t="s">
        <v>249</v>
      </c>
      <c r="M6" s="164" t="s">
        <v>248</v>
      </c>
      <c r="N6" s="660"/>
      <c r="O6" s="651"/>
    </row>
    <row r="7" spans="1:17" x14ac:dyDescent="0.2">
      <c r="A7" s="9" t="s">
        <v>5</v>
      </c>
      <c r="B7" s="9" t="s">
        <v>6</v>
      </c>
      <c r="C7" s="9" t="s">
        <v>7</v>
      </c>
      <c r="D7" s="10">
        <v>1</v>
      </c>
      <c r="E7" s="348"/>
      <c r="F7" s="10">
        <v>2</v>
      </c>
      <c r="G7" s="10">
        <v>4</v>
      </c>
      <c r="H7" s="10">
        <v>5</v>
      </c>
      <c r="I7" s="10">
        <v>6</v>
      </c>
      <c r="J7" s="11">
        <v>7</v>
      </c>
      <c r="K7" s="11">
        <v>8</v>
      </c>
      <c r="L7" s="11"/>
      <c r="M7" s="11"/>
      <c r="N7" s="9">
        <v>9</v>
      </c>
      <c r="O7" s="9">
        <v>10</v>
      </c>
    </row>
    <row r="8" spans="1:17" ht="13.5" x14ac:dyDescent="0.25">
      <c r="A8" s="12"/>
      <c r="B8" s="12"/>
      <c r="C8" s="12"/>
      <c r="D8" s="13"/>
      <c r="E8" s="349"/>
      <c r="F8" s="13"/>
      <c r="G8" s="14"/>
      <c r="H8" s="14"/>
      <c r="I8" s="14"/>
      <c r="J8" s="15"/>
      <c r="K8" s="15"/>
      <c r="L8" s="15"/>
      <c r="M8" s="15"/>
      <c r="N8" s="16"/>
      <c r="O8" s="12"/>
      <c r="Q8" s="17"/>
    </row>
    <row r="9" spans="1:17" x14ac:dyDescent="0.2">
      <c r="A9" s="18" t="s">
        <v>12</v>
      </c>
      <c r="B9" s="640" t="s">
        <v>16</v>
      </c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2"/>
    </row>
    <row r="10" spans="1:17" x14ac:dyDescent="0.2">
      <c r="A10" s="61">
        <v>1</v>
      </c>
      <c r="B10" s="93" t="s">
        <v>63</v>
      </c>
      <c r="C10" s="19"/>
      <c r="D10" s="21"/>
      <c r="E10" s="22"/>
      <c r="F10" s="22"/>
      <c r="G10" s="21"/>
      <c r="H10" s="21"/>
      <c r="I10" s="21"/>
      <c r="J10" s="23"/>
      <c r="K10" s="24"/>
      <c r="L10" s="24"/>
      <c r="M10" s="24"/>
      <c r="N10" s="25"/>
      <c r="O10" s="26"/>
    </row>
    <row r="11" spans="1:17" x14ac:dyDescent="0.2">
      <c r="A11" s="161"/>
      <c r="B11" s="65" t="s">
        <v>64</v>
      </c>
      <c r="C11" s="66" t="s">
        <v>76</v>
      </c>
      <c r="D11" s="107">
        <f>D13+D14</f>
        <v>462629</v>
      </c>
      <c r="E11" s="107"/>
      <c r="F11" s="120">
        <f>F13+F14</f>
        <v>469102</v>
      </c>
      <c r="G11" s="107">
        <f t="shared" ref="G11" si="0">G13+G14</f>
        <v>469102</v>
      </c>
      <c r="H11" s="127">
        <v>469102</v>
      </c>
      <c r="I11" s="127">
        <v>469102</v>
      </c>
      <c r="J11" s="23"/>
      <c r="K11" s="24"/>
      <c r="L11" s="24"/>
      <c r="M11" s="24"/>
      <c r="N11" s="31"/>
      <c r="O11" s="32"/>
    </row>
    <row r="12" spans="1:17" x14ac:dyDescent="0.2">
      <c r="A12" s="161"/>
      <c r="B12" s="65" t="s">
        <v>65</v>
      </c>
      <c r="C12" s="66"/>
      <c r="D12" s="99"/>
      <c r="E12" s="99"/>
      <c r="F12" s="30"/>
      <c r="G12" s="107"/>
      <c r="H12" s="127"/>
      <c r="I12" s="127"/>
      <c r="J12" s="23"/>
      <c r="K12" s="24"/>
      <c r="L12" s="24"/>
      <c r="M12" s="24"/>
      <c r="N12" s="31"/>
      <c r="O12" s="32"/>
    </row>
    <row r="13" spans="1:17" x14ac:dyDescent="0.2">
      <c r="A13" s="161"/>
      <c r="B13" s="65" t="s">
        <v>66</v>
      </c>
      <c r="C13" s="66" t="s">
        <v>76</v>
      </c>
      <c r="D13" s="99">
        <v>82594</v>
      </c>
      <c r="E13" s="99"/>
      <c r="F13" s="120">
        <v>84161</v>
      </c>
      <c r="G13" s="107">
        <v>84161</v>
      </c>
      <c r="H13" s="127">
        <v>84161</v>
      </c>
      <c r="I13" s="127">
        <v>84161</v>
      </c>
      <c r="J13" s="23"/>
      <c r="K13" s="24"/>
      <c r="L13" s="24"/>
      <c r="M13" s="24"/>
      <c r="N13" s="31"/>
      <c r="O13" s="32"/>
    </row>
    <row r="14" spans="1:17" x14ac:dyDescent="0.2">
      <c r="A14" s="161"/>
      <c r="B14" s="65" t="s">
        <v>67</v>
      </c>
      <c r="C14" s="66" t="s">
        <v>76</v>
      </c>
      <c r="D14" s="99">
        <v>380035</v>
      </c>
      <c r="E14" s="99"/>
      <c r="F14" s="120">
        <v>384941</v>
      </c>
      <c r="G14" s="107">
        <v>384941</v>
      </c>
      <c r="H14" s="127">
        <v>384941</v>
      </c>
      <c r="I14" s="127">
        <v>384941</v>
      </c>
      <c r="J14" s="23"/>
      <c r="K14" s="24"/>
      <c r="L14" s="24"/>
      <c r="M14" s="24"/>
      <c r="N14" s="33"/>
      <c r="O14" s="34"/>
    </row>
    <row r="15" spans="1:17" x14ac:dyDescent="0.2">
      <c r="A15" s="161"/>
      <c r="B15" s="65" t="s">
        <v>68</v>
      </c>
      <c r="C15" s="66" t="s">
        <v>76</v>
      </c>
      <c r="D15" s="99">
        <v>390371</v>
      </c>
      <c r="E15" s="99"/>
      <c r="F15" s="120">
        <v>397043</v>
      </c>
      <c r="G15" s="107">
        <v>397043</v>
      </c>
      <c r="H15" s="127">
        <v>397043</v>
      </c>
      <c r="I15" s="127">
        <v>397043</v>
      </c>
      <c r="J15" s="23"/>
      <c r="K15" s="24"/>
      <c r="L15" s="24"/>
      <c r="M15" s="24"/>
      <c r="N15" s="33"/>
      <c r="O15" s="34"/>
    </row>
    <row r="16" spans="1:17" x14ac:dyDescent="0.2">
      <c r="A16" s="161"/>
      <c r="B16" s="65" t="s">
        <v>69</v>
      </c>
      <c r="C16" s="66" t="s">
        <v>77</v>
      </c>
      <c r="D16" s="142">
        <v>2.04</v>
      </c>
      <c r="E16" s="142"/>
      <c r="F16" s="121">
        <v>1.45</v>
      </c>
      <c r="G16" s="29"/>
      <c r="H16" s="128">
        <v>0.75</v>
      </c>
      <c r="I16" s="125">
        <v>1.45</v>
      </c>
      <c r="J16" s="23"/>
      <c r="K16" s="24"/>
      <c r="L16" s="24"/>
      <c r="M16" s="24"/>
      <c r="N16" s="35"/>
      <c r="O16" s="36"/>
    </row>
    <row r="17" spans="1:15" x14ac:dyDescent="0.2">
      <c r="A17" s="161"/>
      <c r="B17" s="65" t="s">
        <v>70</v>
      </c>
      <c r="C17" s="66" t="s">
        <v>78</v>
      </c>
      <c r="D17" s="142">
        <v>0.86</v>
      </c>
      <c r="E17" s="142">
        <v>0.5</v>
      </c>
      <c r="F17" s="121">
        <v>0.5</v>
      </c>
      <c r="G17" s="29"/>
      <c r="H17" s="128">
        <v>0.55000000000000004</v>
      </c>
      <c r="I17" s="125">
        <v>0.5</v>
      </c>
      <c r="J17" s="23"/>
      <c r="K17" s="24"/>
      <c r="L17" s="24"/>
      <c r="M17" s="24"/>
      <c r="N17" s="31"/>
      <c r="O17" s="32"/>
    </row>
    <row r="18" spans="1:15" x14ac:dyDescent="0.2">
      <c r="A18" s="161"/>
      <c r="B18" s="65" t="s">
        <v>71</v>
      </c>
      <c r="C18" s="66" t="s">
        <v>79</v>
      </c>
      <c r="D18" s="142">
        <v>15.75</v>
      </c>
      <c r="E18" s="142">
        <v>17.43</v>
      </c>
      <c r="F18" s="121">
        <v>15.45</v>
      </c>
      <c r="G18" s="30"/>
      <c r="H18" s="121">
        <v>7.78</v>
      </c>
      <c r="I18" s="118">
        <v>15.45</v>
      </c>
      <c r="J18" s="23"/>
      <c r="K18" s="24"/>
      <c r="L18" s="24"/>
      <c r="M18" s="24"/>
      <c r="N18" s="35"/>
      <c r="O18" s="36"/>
    </row>
    <row r="19" spans="1:15" ht="22.5" x14ac:dyDescent="0.2">
      <c r="A19" s="161"/>
      <c r="B19" s="65" t="s">
        <v>72</v>
      </c>
      <c r="C19" s="66" t="s">
        <v>77</v>
      </c>
      <c r="D19" s="162">
        <v>109.06</v>
      </c>
      <c r="E19" s="162"/>
      <c r="F19" s="122">
        <v>109.6</v>
      </c>
      <c r="G19" s="37"/>
      <c r="H19" s="37">
        <v>110</v>
      </c>
      <c r="I19" s="126">
        <v>109.6</v>
      </c>
      <c r="J19" s="23"/>
      <c r="K19" s="24"/>
      <c r="L19" s="24"/>
      <c r="M19" s="24"/>
      <c r="N19" s="38"/>
      <c r="O19" s="142"/>
    </row>
    <row r="20" spans="1:15" x14ac:dyDescent="0.2">
      <c r="A20" s="161">
        <v>2</v>
      </c>
      <c r="B20" s="64" t="s">
        <v>73</v>
      </c>
      <c r="C20" s="66"/>
      <c r="D20" s="162"/>
      <c r="E20" s="162"/>
      <c r="F20" s="120"/>
      <c r="G20" s="30"/>
      <c r="H20" s="120"/>
      <c r="I20" s="118"/>
      <c r="J20" s="23"/>
      <c r="K20" s="24"/>
      <c r="L20" s="24"/>
      <c r="M20" s="24"/>
      <c r="N20" s="35"/>
      <c r="O20" s="36"/>
    </row>
    <row r="21" spans="1:15" ht="22.5" x14ac:dyDescent="0.2">
      <c r="A21" s="161"/>
      <c r="B21" s="65" t="s">
        <v>74</v>
      </c>
      <c r="C21" s="66" t="s">
        <v>77</v>
      </c>
      <c r="D21" s="162">
        <v>70.19</v>
      </c>
      <c r="E21" s="162"/>
      <c r="F21" s="119">
        <v>70</v>
      </c>
      <c r="G21" s="30"/>
      <c r="H21" s="119">
        <v>69.5</v>
      </c>
      <c r="I21" s="118">
        <v>70</v>
      </c>
      <c r="J21" s="23"/>
      <c r="K21" s="24"/>
      <c r="L21" s="24"/>
      <c r="M21" s="24"/>
      <c r="N21" s="39"/>
      <c r="O21" s="142"/>
    </row>
    <row r="22" spans="1:15" ht="22.5" x14ac:dyDescent="0.2">
      <c r="A22" s="68"/>
      <c r="B22" s="69" t="s">
        <v>75</v>
      </c>
      <c r="C22" s="70" t="s">
        <v>77</v>
      </c>
      <c r="D22" s="71">
        <v>16.09</v>
      </c>
      <c r="E22" s="71"/>
      <c r="F22" s="119">
        <v>15.5</v>
      </c>
      <c r="G22" s="42"/>
      <c r="H22" s="124">
        <v>15.7</v>
      </c>
      <c r="I22" s="115">
        <v>15.5</v>
      </c>
      <c r="J22" s="23"/>
      <c r="K22" s="24"/>
      <c r="L22" s="24"/>
      <c r="M22" s="24"/>
      <c r="N22" s="39"/>
      <c r="O22" s="40"/>
    </row>
    <row r="23" spans="1:15" x14ac:dyDescent="0.2">
      <c r="A23" s="74" t="s">
        <v>6</v>
      </c>
      <c r="B23" s="75" t="s">
        <v>18</v>
      </c>
      <c r="C23" s="40"/>
      <c r="D23" s="42"/>
      <c r="E23" s="42"/>
      <c r="F23" s="30"/>
      <c r="G23" s="42"/>
      <c r="H23" s="42"/>
      <c r="I23" s="42"/>
      <c r="J23" s="23"/>
      <c r="K23" s="24"/>
      <c r="L23" s="24"/>
      <c r="M23" s="24"/>
      <c r="N23" s="39"/>
      <c r="O23" s="40"/>
    </row>
    <row r="24" spans="1:15" x14ac:dyDescent="0.2">
      <c r="A24" s="89" t="s">
        <v>12</v>
      </c>
      <c r="B24" s="90" t="s">
        <v>80</v>
      </c>
      <c r="C24" s="40"/>
      <c r="D24" s="42"/>
      <c r="E24" s="42"/>
      <c r="F24" s="30"/>
      <c r="G24" s="42"/>
      <c r="H24" s="42"/>
      <c r="I24" s="42"/>
      <c r="J24" s="23"/>
      <c r="K24" s="24"/>
      <c r="L24" s="24"/>
      <c r="M24" s="24"/>
      <c r="N24" s="39"/>
      <c r="O24" s="40"/>
    </row>
    <row r="25" spans="1:15" x14ac:dyDescent="0.2">
      <c r="A25" s="79">
        <v>1</v>
      </c>
      <c r="B25" s="65" t="s">
        <v>81</v>
      </c>
      <c r="C25" s="79" t="s">
        <v>82</v>
      </c>
      <c r="D25" s="162">
        <v>122</v>
      </c>
      <c r="E25" s="162"/>
      <c r="F25" s="30">
        <v>122</v>
      </c>
      <c r="G25" s="30">
        <v>122</v>
      </c>
      <c r="H25" s="120">
        <f>SUM(H26:H32)</f>
        <v>120</v>
      </c>
      <c r="I25" s="120">
        <f>SUM(I26:I32)</f>
        <v>120</v>
      </c>
      <c r="J25" s="23"/>
      <c r="K25" s="24"/>
      <c r="L25" s="24"/>
      <c r="M25" s="24"/>
      <c r="N25" s="39"/>
      <c r="O25" s="40"/>
    </row>
    <row r="26" spans="1:15" x14ac:dyDescent="0.2">
      <c r="A26" s="80"/>
      <c r="B26" s="81" t="s">
        <v>83</v>
      </c>
      <c r="C26" s="80" t="s">
        <v>84</v>
      </c>
      <c r="D26" s="162">
        <v>1</v>
      </c>
      <c r="E26" s="162"/>
      <c r="F26" s="30">
        <v>1</v>
      </c>
      <c r="G26" s="30">
        <v>1</v>
      </c>
      <c r="H26" s="120">
        <v>1</v>
      </c>
      <c r="I26" s="30">
        <v>1</v>
      </c>
      <c r="J26" s="23"/>
      <c r="K26" s="24"/>
      <c r="L26" s="24"/>
      <c r="M26" s="24"/>
      <c r="N26" s="39"/>
      <c r="O26" s="40"/>
    </row>
    <row r="27" spans="1:15" x14ac:dyDescent="0.2">
      <c r="A27" s="80"/>
      <c r="B27" s="81" t="s">
        <v>85</v>
      </c>
      <c r="C27" s="80" t="s">
        <v>84</v>
      </c>
      <c r="D27" s="162">
        <v>2</v>
      </c>
      <c r="E27" s="162"/>
      <c r="F27" s="30">
        <v>2</v>
      </c>
      <c r="G27" s="30">
        <v>2</v>
      </c>
      <c r="H27" s="120">
        <v>2</v>
      </c>
      <c r="I27" s="30">
        <v>2</v>
      </c>
      <c r="J27" s="23"/>
      <c r="K27" s="24"/>
      <c r="L27" s="24"/>
      <c r="M27" s="24"/>
      <c r="N27" s="39"/>
      <c r="O27" s="40"/>
    </row>
    <row r="28" spans="1:15" x14ac:dyDescent="0.2">
      <c r="A28" s="80"/>
      <c r="B28" s="81" t="s">
        <v>149</v>
      </c>
      <c r="C28" s="80" t="s">
        <v>87</v>
      </c>
      <c r="D28" s="162">
        <v>1</v>
      </c>
      <c r="E28" s="162"/>
      <c r="F28" s="30">
        <v>1</v>
      </c>
      <c r="G28" s="30">
        <v>1</v>
      </c>
      <c r="H28" s="120">
        <v>1</v>
      </c>
      <c r="I28" s="30">
        <v>1</v>
      </c>
      <c r="J28" s="23"/>
      <c r="K28" s="24"/>
      <c r="L28" s="24"/>
      <c r="M28" s="24"/>
      <c r="N28" s="39"/>
      <c r="O28" s="40"/>
    </row>
    <row r="29" spans="1:15" x14ac:dyDescent="0.2">
      <c r="A29" s="80"/>
      <c r="B29" s="81" t="s">
        <v>86</v>
      </c>
      <c r="C29" s="80" t="s">
        <v>87</v>
      </c>
      <c r="D29" s="162">
        <v>8</v>
      </c>
      <c r="E29" s="162"/>
      <c r="F29" s="30">
        <v>8</v>
      </c>
      <c r="G29" s="30">
        <v>8</v>
      </c>
      <c r="H29" s="120">
        <v>8</v>
      </c>
      <c r="I29" s="30">
        <v>8</v>
      </c>
      <c r="J29" s="23"/>
      <c r="K29" s="24"/>
      <c r="L29" s="24"/>
      <c r="M29" s="24"/>
      <c r="N29" s="39"/>
      <c r="O29" s="40"/>
    </row>
    <row r="30" spans="1:15" x14ac:dyDescent="0.2">
      <c r="A30" s="80"/>
      <c r="B30" s="98" t="s">
        <v>151</v>
      </c>
      <c r="C30" s="80" t="s">
        <v>87</v>
      </c>
      <c r="D30" s="162">
        <v>1</v>
      </c>
      <c r="E30" s="162"/>
      <c r="F30" s="30">
        <v>1</v>
      </c>
      <c r="G30" s="30">
        <v>1</v>
      </c>
      <c r="H30" s="120">
        <v>1</v>
      </c>
      <c r="I30" s="30">
        <v>1</v>
      </c>
      <c r="J30" s="23"/>
      <c r="K30" s="24"/>
      <c r="L30" s="24"/>
      <c r="M30" s="24"/>
      <c r="N30" s="39"/>
      <c r="O30" s="40"/>
    </row>
    <row r="31" spans="1:15" x14ac:dyDescent="0.2">
      <c r="A31" s="80"/>
      <c r="B31" s="82" t="s">
        <v>88</v>
      </c>
      <c r="C31" s="80" t="s">
        <v>89</v>
      </c>
      <c r="D31" s="162">
        <v>4</v>
      </c>
      <c r="E31" s="162"/>
      <c r="F31" s="30">
        <v>4</v>
      </c>
      <c r="G31" s="30">
        <v>4</v>
      </c>
      <c r="H31" s="120">
        <v>4</v>
      </c>
      <c r="I31" s="30">
        <v>4</v>
      </c>
      <c r="J31" s="23"/>
      <c r="K31" s="24"/>
      <c r="L31" s="24"/>
      <c r="M31" s="24"/>
      <c r="N31" s="39"/>
      <c r="O31" s="40"/>
    </row>
    <row r="32" spans="1:15" x14ac:dyDescent="0.2">
      <c r="A32" s="80"/>
      <c r="B32" s="82" t="s">
        <v>90</v>
      </c>
      <c r="C32" s="80" t="s">
        <v>91</v>
      </c>
      <c r="D32" s="162">
        <v>105</v>
      </c>
      <c r="E32" s="162"/>
      <c r="F32" s="30">
        <v>105</v>
      </c>
      <c r="G32" s="30">
        <v>105</v>
      </c>
      <c r="H32" s="120">
        <v>103</v>
      </c>
      <c r="I32" s="30">
        <v>103</v>
      </c>
      <c r="J32" s="23"/>
      <c r="K32" s="24"/>
      <c r="L32" s="24"/>
      <c r="M32" s="24"/>
      <c r="N32" s="39"/>
      <c r="O32" s="40"/>
    </row>
    <row r="33" spans="1:15" x14ac:dyDescent="0.2">
      <c r="A33" s="79">
        <v>2</v>
      </c>
      <c r="B33" s="65" t="s">
        <v>92</v>
      </c>
      <c r="C33" s="79" t="s">
        <v>82</v>
      </c>
      <c r="D33" s="162">
        <v>2</v>
      </c>
      <c r="E33" s="162"/>
      <c r="F33" s="30">
        <v>2</v>
      </c>
      <c r="G33" s="30">
        <v>2</v>
      </c>
      <c r="H33" s="120">
        <v>2</v>
      </c>
      <c r="I33" s="30">
        <v>2</v>
      </c>
      <c r="J33" s="23"/>
      <c r="K33" s="24"/>
      <c r="L33" s="24"/>
      <c r="M33" s="24"/>
      <c r="N33" s="39"/>
      <c r="O33" s="40"/>
    </row>
    <row r="34" spans="1:15" x14ac:dyDescent="0.2">
      <c r="A34" s="79">
        <v>3</v>
      </c>
      <c r="B34" s="83" t="s">
        <v>93</v>
      </c>
      <c r="C34" s="79" t="s">
        <v>94</v>
      </c>
      <c r="D34" s="162">
        <v>1450</v>
      </c>
      <c r="E34" s="162"/>
      <c r="F34" s="30">
        <f>F35+F36</f>
        <v>1580</v>
      </c>
      <c r="G34" s="30">
        <v>1580</v>
      </c>
      <c r="H34" s="120">
        <v>1580</v>
      </c>
      <c r="I34" s="30">
        <v>1580</v>
      </c>
      <c r="J34" s="23"/>
      <c r="K34" s="24"/>
      <c r="L34" s="24"/>
      <c r="M34" s="24"/>
      <c r="N34" s="39"/>
      <c r="O34" s="40"/>
    </row>
    <row r="35" spans="1:15" x14ac:dyDescent="0.2">
      <c r="A35" s="79"/>
      <c r="B35" s="83" t="s">
        <v>95</v>
      </c>
      <c r="C35" s="79" t="s">
        <v>94</v>
      </c>
      <c r="D35" s="162">
        <v>590</v>
      </c>
      <c r="E35" s="162"/>
      <c r="F35" s="30">
        <v>660</v>
      </c>
      <c r="G35" s="30">
        <v>660</v>
      </c>
      <c r="H35" s="120">
        <v>660</v>
      </c>
      <c r="I35" s="30">
        <v>660</v>
      </c>
      <c r="J35" s="23"/>
      <c r="K35" s="24"/>
      <c r="L35" s="24"/>
      <c r="M35" s="24"/>
      <c r="N35" s="39"/>
      <c r="O35" s="40"/>
    </row>
    <row r="36" spans="1:15" x14ac:dyDescent="0.2">
      <c r="A36" s="79"/>
      <c r="B36" s="83" t="s">
        <v>96</v>
      </c>
      <c r="C36" s="79" t="s">
        <v>94</v>
      </c>
      <c r="D36" s="162">
        <v>860</v>
      </c>
      <c r="E36" s="162"/>
      <c r="F36" s="30">
        <f>F37+F38</f>
        <v>920</v>
      </c>
      <c r="G36" s="30">
        <v>920</v>
      </c>
      <c r="H36" s="120">
        <v>920</v>
      </c>
      <c r="I36" s="30">
        <v>920</v>
      </c>
      <c r="J36" s="23"/>
      <c r="K36" s="24"/>
      <c r="L36" s="24"/>
      <c r="M36" s="24"/>
      <c r="N36" s="39"/>
      <c r="O36" s="40"/>
    </row>
    <row r="37" spans="1:15" x14ac:dyDescent="0.2">
      <c r="A37" s="80"/>
      <c r="B37" s="81" t="s">
        <v>97</v>
      </c>
      <c r="C37" s="79" t="s">
        <v>94</v>
      </c>
      <c r="D37" s="162">
        <v>800</v>
      </c>
      <c r="E37" s="162"/>
      <c r="F37" s="30">
        <v>860</v>
      </c>
      <c r="G37" s="30">
        <v>860</v>
      </c>
      <c r="H37" s="120">
        <v>860</v>
      </c>
      <c r="I37" s="30">
        <v>860</v>
      </c>
      <c r="J37" s="23"/>
      <c r="K37" s="24"/>
      <c r="L37" s="24"/>
      <c r="M37" s="24"/>
      <c r="N37" s="39"/>
      <c r="O37" s="40"/>
    </row>
    <row r="38" spans="1:15" x14ac:dyDescent="0.2">
      <c r="A38" s="80"/>
      <c r="B38" s="95" t="s">
        <v>150</v>
      </c>
      <c r="C38" s="80" t="s">
        <v>94</v>
      </c>
      <c r="D38" s="162">
        <v>60</v>
      </c>
      <c r="E38" s="162"/>
      <c r="F38" s="30">
        <v>60</v>
      </c>
      <c r="G38" s="30">
        <v>60</v>
      </c>
      <c r="H38" s="120">
        <v>60</v>
      </c>
      <c r="I38" s="30">
        <v>60</v>
      </c>
      <c r="J38" s="23"/>
      <c r="K38" s="24"/>
      <c r="L38" s="24"/>
      <c r="M38" s="24"/>
      <c r="N38" s="39"/>
      <c r="O38" s="40"/>
    </row>
    <row r="39" spans="1:15" ht="27" customHeight="1" x14ac:dyDescent="0.2">
      <c r="A39" s="79">
        <v>4</v>
      </c>
      <c r="B39" s="65" t="s">
        <v>98</v>
      </c>
      <c r="C39" s="79" t="s">
        <v>94</v>
      </c>
      <c r="D39" s="162">
        <v>31.68</v>
      </c>
      <c r="E39" s="162">
        <v>34.11</v>
      </c>
      <c r="F39" s="118">
        <f>F34/F11*10000</f>
        <v>33.68137420006736</v>
      </c>
      <c r="G39" s="118">
        <v>33.68137420006736</v>
      </c>
      <c r="H39" s="118">
        <v>33.68137420006736</v>
      </c>
      <c r="I39" s="118">
        <v>33.68137420006736</v>
      </c>
      <c r="J39" s="23"/>
      <c r="K39" s="24"/>
      <c r="L39" s="24"/>
      <c r="M39" s="726" t="s">
        <v>254</v>
      </c>
      <c r="N39" s="720" t="s">
        <v>256</v>
      </c>
      <c r="O39" s="721"/>
    </row>
    <row r="40" spans="1:15" ht="25.5" customHeight="1" x14ac:dyDescent="0.2">
      <c r="A40" s="80"/>
      <c r="B40" s="84" t="s">
        <v>99</v>
      </c>
      <c r="C40" s="80" t="s">
        <v>100</v>
      </c>
      <c r="D40" s="162">
        <v>31.68</v>
      </c>
      <c r="E40" s="162">
        <v>33.729999999999997</v>
      </c>
      <c r="F40" s="118">
        <f>F34/F11*10000</f>
        <v>33.68137420006736</v>
      </c>
      <c r="G40" s="118">
        <v>33.68137420006736</v>
      </c>
      <c r="H40" s="118">
        <v>33.68137420006736</v>
      </c>
      <c r="I40" s="118">
        <v>33.68137420006736</v>
      </c>
      <c r="J40" s="23"/>
      <c r="K40" s="24"/>
      <c r="L40" s="24"/>
      <c r="M40" s="727"/>
      <c r="N40" s="722"/>
      <c r="O40" s="723"/>
    </row>
    <row r="41" spans="1:15" s="353" customFormat="1" ht="36" customHeight="1" x14ac:dyDescent="0.25">
      <c r="A41" s="351">
        <v>5</v>
      </c>
      <c r="B41" s="352" t="s">
        <v>253</v>
      </c>
      <c r="C41" s="351"/>
      <c r="D41" s="100">
        <v>0</v>
      </c>
      <c r="E41" s="100">
        <v>0.38</v>
      </c>
      <c r="F41" s="118">
        <v>0</v>
      </c>
      <c r="G41" s="118">
        <v>0</v>
      </c>
      <c r="H41" s="118">
        <v>0</v>
      </c>
      <c r="I41" s="118">
        <v>0</v>
      </c>
      <c r="J41" s="23"/>
      <c r="K41" s="24"/>
      <c r="L41" s="24"/>
      <c r="M41" s="24" t="s">
        <v>255</v>
      </c>
      <c r="N41" s="724" t="s">
        <v>257</v>
      </c>
      <c r="O41" s="725"/>
    </row>
    <row r="42" spans="1:15" x14ac:dyDescent="0.2">
      <c r="A42" s="77" t="s">
        <v>101</v>
      </c>
      <c r="B42" s="78" t="s">
        <v>102</v>
      </c>
      <c r="C42" s="77"/>
      <c r="D42" s="100"/>
      <c r="E42" s="100"/>
      <c r="F42" s="30"/>
      <c r="G42" s="42"/>
      <c r="H42" s="120"/>
      <c r="I42" s="42"/>
      <c r="J42" s="23"/>
      <c r="K42" s="24"/>
      <c r="L42" s="24"/>
      <c r="M42" s="24"/>
      <c r="N42" s="39"/>
      <c r="O42" s="40"/>
    </row>
    <row r="43" spans="1:15" x14ac:dyDescent="0.2">
      <c r="A43" s="79">
        <v>1</v>
      </c>
      <c r="B43" s="65" t="s">
        <v>103</v>
      </c>
      <c r="C43" s="101" t="s">
        <v>76</v>
      </c>
      <c r="D43" s="106">
        <v>2842</v>
      </c>
      <c r="E43" s="107"/>
      <c r="F43" s="30">
        <v>3085</v>
      </c>
      <c r="G43" s="120">
        <v>2829</v>
      </c>
      <c r="H43" s="120">
        <v>2827</v>
      </c>
      <c r="I43" s="120">
        <v>3085</v>
      </c>
      <c r="J43" s="23"/>
      <c r="K43" s="24"/>
      <c r="L43" s="24"/>
      <c r="M43" s="24"/>
      <c r="N43" s="39"/>
      <c r="O43" s="40"/>
    </row>
    <row r="44" spans="1:15" x14ac:dyDescent="0.2">
      <c r="A44" s="79"/>
      <c r="B44" s="65" t="s">
        <v>104</v>
      </c>
      <c r="C44" s="101"/>
      <c r="D44" s="28"/>
      <c r="E44" s="142"/>
      <c r="F44" s="30"/>
      <c r="G44" s="120"/>
      <c r="H44" s="120"/>
      <c r="I44" s="120"/>
      <c r="J44" s="23"/>
      <c r="K44" s="24"/>
      <c r="L44" s="24"/>
      <c r="M44" s="24"/>
      <c r="N44" s="39"/>
      <c r="O44" s="40"/>
    </row>
    <row r="45" spans="1:15" x14ac:dyDescent="0.2">
      <c r="A45" s="79" t="s">
        <v>105</v>
      </c>
      <c r="B45" s="65" t="s">
        <v>106</v>
      </c>
      <c r="C45" s="101" t="s">
        <v>76</v>
      </c>
      <c r="D45" s="28">
        <v>419</v>
      </c>
      <c r="E45" s="142"/>
      <c r="F45" s="30">
        <v>568</v>
      </c>
      <c r="G45" s="120">
        <v>430</v>
      </c>
      <c r="H45" s="120">
        <v>428</v>
      </c>
      <c r="I45" s="120">
        <v>568</v>
      </c>
      <c r="J45" s="23"/>
      <c r="K45" s="24"/>
      <c r="L45" s="24"/>
      <c r="M45" s="24"/>
      <c r="N45" s="39"/>
      <c r="O45" s="40"/>
    </row>
    <row r="46" spans="1:15" x14ac:dyDescent="0.2">
      <c r="A46" s="80"/>
      <c r="B46" s="82" t="s">
        <v>107</v>
      </c>
      <c r="C46" s="102" t="s">
        <v>108</v>
      </c>
      <c r="D46" s="104">
        <v>9.0569333094120772</v>
      </c>
      <c r="E46" s="107">
        <v>12</v>
      </c>
      <c r="F46" s="118">
        <f>F45/F11*10000</f>
        <v>12.108240851669786</v>
      </c>
      <c r="G46" s="118">
        <v>9.1664499405246627</v>
      </c>
      <c r="H46" s="121">
        <v>9.1238152896385021</v>
      </c>
      <c r="I46" s="118">
        <v>12.108240851669786</v>
      </c>
      <c r="J46" s="23"/>
      <c r="K46" s="24"/>
      <c r="L46" s="24"/>
      <c r="M46" s="24" t="s">
        <v>245</v>
      </c>
      <c r="N46" s="39"/>
      <c r="O46" s="40"/>
    </row>
    <row r="47" spans="1:15" x14ac:dyDescent="0.2">
      <c r="A47" s="79" t="s">
        <v>109</v>
      </c>
      <c r="B47" s="65" t="s">
        <v>110</v>
      </c>
      <c r="C47" s="101" t="s">
        <v>76</v>
      </c>
      <c r="D47" s="28">
        <v>52</v>
      </c>
      <c r="E47" s="142"/>
      <c r="F47" s="30">
        <v>65</v>
      </c>
      <c r="G47" s="120">
        <v>59</v>
      </c>
      <c r="H47" s="120">
        <v>60</v>
      </c>
      <c r="I47" s="120">
        <v>65</v>
      </c>
      <c r="J47" s="23"/>
      <c r="K47" s="24"/>
      <c r="L47" s="24"/>
      <c r="M47" s="24"/>
      <c r="N47" s="39"/>
      <c r="O47" s="40"/>
    </row>
    <row r="48" spans="1:15" x14ac:dyDescent="0.2">
      <c r="A48" s="80"/>
      <c r="B48" s="82" t="s">
        <v>111</v>
      </c>
      <c r="C48" s="102" t="s">
        <v>108</v>
      </c>
      <c r="D48" s="104">
        <v>1.1240108164425491</v>
      </c>
      <c r="E48" s="345"/>
      <c r="F48" s="118">
        <f>F47/F11*10000</f>
        <v>1.3856261538002397</v>
      </c>
      <c r="G48" s="118">
        <v>1.2577222011417559</v>
      </c>
      <c r="H48" s="118">
        <v>1.2790395265848367</v>
      </c>
      <c r="I48" s="118">
        <v>1.3856261538002397</v>
      </c>
      <c r="J48" s="23"/>
      <c r="K48" s="24"/>
      <c r="L48" s="24"/>
      <c r="M48" s="24"/>
      <c r="N48" s="39"/>
      <c r="O48" s="40"/>
    </row>
    <row r="49" spans="1:16" ht="22.5" x14ac:dyDescent="0.2">
      <c r="A49" s="79">
        <v>3</v>
      </c>
      <c r="B49" s="65" t="s">
        <v>112</v>
      </c>
      <c r="C49" s="101" t="s">
        <v>77</v>
      </c>
      <c r="D49" s="342">
        <v>17.592592592592592</v>
      </c>
      <c r="E49" s="345"/>
      <c r="F49" s="118">
        <f>20/108*100</f>
        <v>18.518518518518519</v>
      </c>
      <c r="G49" s="118">
        <v>17.592592592592592</v>
      </c>
      <c r="H49" s="118">
        <v>18.518518518518519</v>
      </c>
      <c r="I49" s="118">
        <v>18.518518518518519</v>
      </c>
      <c r="J49" s="23"/>
      <c r="K49" s="24"/>
      <c r="L49" s="24"/>
      <c r="M49" s="24"/>
      <c r="N49" s="39"/>
      <c r="O49" s="40"/>
    </row>
    <row r="50" spans="1:16" ht="29.25" customHeight="1" x14ac:dyDescent="0.2">
      <c r="A50" s="79"/>
      <c r="B50" s="344" t="s">
        <v>252</v>
      </c>
      <c r="C50" s="101" t="s">
        <v>77</v>
      </c>
      <c r="D50" s="343">
        <v>75.930000000000007</v>
      </c>
      <c r="E50" s="103"/>
      <c r="F50" s="118">
        <v>85</v>
      </c>
      <c r="G50" s="118">
        <v>85</v>
      </c>
      <c r="H50" s="118">
        <v>85</v>
      </c>
      <c r="I50" s="118">
        <v>85</v>
      </c>
      <c r="J50" s="23"/>
      <c r="K50" s="24"/>
      <c r="L50" s="24"/>
      <c r="M50" s="24"/>
      <c r="N50" s="39"/>
      <c r="O50" s="40"/>
    </row>
    <row r="51" spans="1:16" ht="22.5" x14ac:dyDescent="0.2">
      <c r="A51" s="79">
        <v>5</v>
      </c>
      <c r="B51" s="65" t="s">
        <v>113</v>
      </c>
      <c r="C51" s="79" t="s">
        <v>77</v>
      </c>
      <c r="D51" s="103">
        <v>95.909090909090907</v>
      </c>
      <c r="E51" s="103"/>
      <c r="F51" s="118">
        <v>98.74</v>
      </c>
      <c r="G51" s="118">
        <v>96.645702306079656</v>
      </c>
      <c r="H51" s="121">
        <v>96.645702306079656</v>
      </c>
      <c r="I51" s="118">
        <v>96.645702306079656</v>
      </c>
      <c r="J51" s="23"/>
      <c r="K51" s="24"/>
      <c r="L51" s="24"/>
      <c r="M51" s="24"/>
      <c r="N51" s="39"/>
      <c r="O51" s="40"/>
    </row>
    <row r="52" spans="1:16" x14ac:dyDescent="0.2">
      <c r="A52" s="77" t="s">
        <v>114</v>
      </c>
      <c r="B52" s="78" t="s">
        <v>115</v>
      </c>
      <c r="C52" s="85"/>
      <c r="D52" s="42"/>
      <c r="E52" s="42"/>
      <c r="F52" s="30"/>
      <c r="G52" s="42"/>
      <c r="H52" s="120"/>
      <c r="I52" s="118"/>
      <c r="J52" s="23"/>
      <c r="K52" s="24"/>
      <c r="L52" s="24"/>
      <c r="M52" s="24"/>
      <c r="N52" s="39"/>
      <c r="O52" s="40"/>
    </row>
    <row r="53" spans="1:16" x14ac:dyDescent="0.2">
      <c r="A53" s="79">
        <v>1</v>
      </c>
      <c r="B53" s="65" t="s">
        <v>116</v>
      </c>
      <c r="C53" s="79" t="s">
        <v>117</v>
      </c>
      <c r="D53" s="42">
        <v>81</v>
      </c>
      <c r="E53" s="42"/>
      <c r="F53" s="30">
        <v>90</v>
      </c>
      <c r="G53" s="108">
        <v>87</v>
      </c>
      <c r="H53" s="355">
        <v>86</v>
      </c>
      <c r="I53" s="120">
        <v>89</v>
      </c>
      <c r="J53" s="23"/>
      <c r="K53" s="24"/>
      <c r="L53" s="24"/>
      <c r="M53" s="24"/>
      <c r="N53" s="39"/>
      <c r="O53" s="40"/>
    </row>
    <row r="54" spans="1:16" ht="22.5" x14ac:dyDescent="0.2">
      <c r="A54" s="79"/>
      <c r="B54" s="82" t="s">
        <v>118</v>
      </c>
      <c r="C54" s="79" t="s">
        <v>117</v>
      </c>
      <c r="D54" s="42">
        <v>6</v>
      </c>
      <c r="E54" s="42"/>
      <c r="F54" s="30">
        <v>3</v>
      </c>
      <c r="G54" s="355">
        <v>6</v>
      </c>
      <c r="H54" s="355">
        <v>6</v>
      </c>
      <c r="I54" s="120">
        <v>3</v>
      </c>
      <c r="J54" s="23"/>
      <c r="K54" s="24"/>
      <c r="L54" s="24"/>
      <c r="M54" s="24"/>
      <c r="N54" s="39"/>
      <c r="O54" s="40"/>
    </row>
    <row r="55" spans="1:16" ht="25.5" x14ac:dyDescent="0.2">
      <c r="A55" s="86"/>
      <c r="B55" s="82" t="s">
        <v>119</v>
      </c>
      <c r="C55" s="80" t="s">
        <v>77</v>
      </c>
      <c r="D55" s="42">
        <v>75</v>
      </c>
      <c r="E55" s="42" t="s">
        <v>250</v>
      </c>
      <c r="F55" s="118">
        <f>90/108*100</f>
        <v>83.333333333333343</v>
      </c>
      <c r="G55" s="129">
        <f t="shared" ref="G55" si="1">G53/108*100</f>
        <v>80.555555555555557</v>
      </c>
      <c r="H55" s="129">
        <v>81.132075471698116</v>
      </c>
      <c r="I55" s="118">
        <f>89/106*100</f>
        <v>83.962264150943398</v>
      </c>
      <c r="J55" s="23"/>
      <c r="K55" s="24"/>
      <c r="L55" s="24"/>
      <c r="M55" s="24" t="s">
        <v>258</v>
      </c>
      <c r="N55" s="39"/>
      <c r="O55" s="40"/>
      <c r="P55" s="146"/>
    </row>
    <row r="56" spans="1:16" ht="22.5" x14ac:dyDescent="0.2">
      <c r="A56" s="79">
        <v>2</v>
      </c>
      <c r="B56" s="65" t="s">
        <v>120</v>
      </c>
      <c r="C56" s="79" t="s">
        <v>121</v>
      </c>
      <c r="D56" s="42">
        <v>26.69</v>
      </c>
      <c r="E56" s="42">
        <v>30</v>
      </c>
      <c r="F56" s="30">
        <v>29.99</v>
      </c>
      <c r="G56" s="138">
        <f>((16+16+12+22+33)/(861+800+700+745+656))*1000</f>
        <v>26.315789473684209</v>
      </c>
      <c r="H56" s="143">
        <f>((16+16+12+22+33+13)/(861+800+700+745+656+674))*1000</f>
        <v>25.247971145175836</v>
      </c>
      <c r="I56" s="118">
        <v>29.99</v>
      </c>
      <c r="J56" s="23"/>
      <c r="K56" s="24"/>
      <c r="L56" s="24"/>
      <c r="M56" s="24" t="s">
        <v>245</v>
      </c>
      <c r="N56" s="39"/>
      <c r="O56" s="40"/>
    </row>
    <row r="57" spans="1:16" ht="22.5" x14ac:dyDescent="0.2">
      <c r="A57" s="79">
        <v>3</v>
      </c>
      <c r="B57" s="65" t="s">
        <v>122</v>
      </c>
      <c r="C57" s="79" t="s">
        <v>121</v>
      </c>
      <c r="D57" s="42">
        <v>37.07</v>
      </c>
      <c r="E57" s="42">
        <v>50</v>
      </c>
      <c r="F57" s="30">
        <v>43.14</v>
      </c>
      <c r="G57" s="138">
        <f>((18+18+14+26+41)/(861+800+700+745+656))*1000</f>
        <v>31.100478468899521</v>
      </c>
      <c r="H57" s="143">
        <f>((18+18+14+26+41+26)/(861+800+700+745+656+674))*1000</f>
        <v>32.236248872858432</v>
      </c>
      <c r="I57" s="118">
        <v>43.14</v>
      </c>
      <c r="J57" s="23"/>
      <c r="K57" s="24"/>
      <c r="L57" s="24"/>
      <c r="M57" s="24" t="s">
        <v>245</v>
      </c>
      <c r="N57" s="39"/>
      <c r="O57" s="40"/>
    </row>
    <row r="58" spans="1:16" ht="22.5" x14ac:dyDescent="0.2">
      <c r="A58" s="79">
        <v>4</v>
      </c>
      <c r="B58" s="65" t="s">
        <v>123</v>
      </c>
      <c r="C58" s="79" t="s">
        <v>124</v>
      </c>
      <c r="D58" s="42">
        <v>20.21</v>
      </c>
      <c r="E58" s="42" t="s">
        <v>251</v>
      </c>
      <c r="F58" s="30">
        <v>19.989999999999998</v>
      </c>
      <c r="G58" s="30"/>
      <c r="H58" s="356">
        <v>19.97</v>
      </c>
      <c r="I58" s="118">
        <v>19.989999999999998</v>
      </c>
      <c r="J58" s="23"/>
      <c r="K58" s="24"/>
      <c r="L58" s="24"/>
      <c r="M58" s="24" t="s">
        <v>245</v>
      </c>
      <c r="N58" s="39"/>
      <c r="O58" s="40"/>
    </row>
    <row r="59" spans="1:16" ht="22.5" x14ac:dyDescent="0.2">
      <c r="A59" s="79">
        <v>5</v>
      </c>
      <c r="B59" s="65" t="s">
        <v>125</v>
      </c>
      <c r="C59" s="79" t="s">
        <v>126</v>
      </c>
      <c r="D59" s="42">
        <v>21.18</v>
      </c>
      <c r="E59" s="42">
        <v>80</v>
      </c>
      <c r="F59" s="30">
        <v>75</v>
      </c>
      <c r="G59" s="96">
        <f>1/3762*100000</f>
        <v>26.581605528973952</v>
      </c>
      <c r="H59" s="360">
        <f>1/4436*100000</f>
        <v>22.54283137962128</v>
      </c>
      <c r="I59" s="118">
        <v>75</v>
      </c>
      <c r="J59" s="23"/>
      <c r="K59" s="24"/>
      <c r="L59" s="24"/>
      <c r="M59" s="24" t="s">
        <v>245</v>
      </c>
      <c r="N59" s="39"/>
      <c r="O59" s="40"/>
    </row>
    <row r="60" spans="1:16" ht="72.75" customHeight="1" x14ac:dyDescent="0.2">
      <c r="A60" s="354">
        <v>6</v>
      </c>
      <c r="B60" s="152" t="s">
        <v>127</v>
      </c>
      <c r="C60" s="354" t="s">
        <v>77</v>
      </c>
      <c r="D60" s="42">
        <v>29.17</v>
      </c>
      <c r="E60" s="42">
        <v>95</v>
      </c>
      <c r="F60" s="30">
        <v>94.2</v>
      </c>
      <c r="G60" s="132">
        <f>(702+822+826+1568)/9982*100</f>
        <v>39.250651172109798</v>
      </c>
      <c r="H60" s="362">
        <f>(702+822+826+1568+784)/9982*100</f>
        <v>47.104788619515126</v>
      </c>
      <c r="I60" s="118">
        <v>94.2</v>
      </c>
      <c r="J60" s="23"/>
      <c r="K60" s="24"/>
      <c r="L60" s="24"/>
      <c r="M60" s="24" t="s">
        <v>254</v>
      </c>
      <c r="N60" s="728" t="s">
        <v>259</v>
      </c>
      <c r="O60" s="729"/>
    </row>
    <row r="61" spans="1:16" x14ac:dyDescent="0.2">
      <c r="A61" s="79">
        <v>7</v>
      </c>
      <c r="B61" s="65" t="s">
        <v>128</v>
      </c>
      <c r="C61" s="79" t="s">
        <v>77</v>
      </c>
      <c r="D61" s="42">
        <v>75.900000000000006</v>
      </c>
      <c r="E61" s="42"/>
      <c r="F61" s="30">
        <v>62.8</v>
      </c>
      <c r="G61" s="138">
        <f>((655+603+550+550+673)/(868+800+700+759+734))*100</f>
        <v>78.502978502978507</v>
      </c>
      <c r="H61" s="361">
        <f>((655+603+550+550+673+485)/(868+800+700+759+734+684))*100</f>
        <v>77.359735973597353</v>
      </c>
      <c r="I61" s="118">
        <v>62.8</v>
      </c>
      <c r="J61" s="23"/>
      <c r="K61" s="24"/>
      <c r="L61" s="24"/>
      <c r="M61" s="24"/>
      <c r="N61" s="39"/>
      <c r="O61" s="40"/>
    </row>
    <row r="62" spans="1:16" x14ac:dyDescent="0.2">
      <c r="A62" s="79">
        <v>8</v>
      </c>
      <c r="B62" s="65" t="s">
        <v>129</v>
      </c>
      <c r="C62" s="79" t="s">
        <v>77</v>
      </c>
      <c r="D62" s="42">
        <v>73.260000000000005</v>
      </c>
      <c r="E62" s="42"/>
      <c r="F62" s="30">
        <v>68.5</v>
      </c>
      <c r="G62" s="138">
        <f>((731+562+584+650+592)/(868+800+700+759+734))*100</f>
        <v>80.782180782180774</v>
      </c>
      <c r="H62" s="357">
        <f>((731+562+584+650+592+530)/(868+800+700+759+734+684))*100</f>
        <v>80.286028602860284</v>
      </c>
      <c r="I62" s="118">
        <v>68.5</v>
      </c>
      <c r="J62" s="23"/>
      <c r="K62" s="24"/>
      <c r="L62" s="24"/>
      <c r="M62" s="24"/>
      <c r="N62" s="39"/>
      <c r="O62" s="40"/>
    </row>
    <row r="63" spans="1:16" x14ac:dyDescent="0.2">
      <c r="A63" s="79">
        <v>9</v>
      </c>
      <c r="B63" s="65" t="s">
        <v>130</v>
      </c>
      <c r="C63" s="79"/>
      <c r="D63" s="42"/>
      <c r="E63" s="42"/>
      <c r="F63" s="30"/>
      <c r="G63" s="355"/>
      <c r="H63" s="356"/>
      <c r="I63" s="118"/>
      <c r="J63" s="23"/>
      <c r="K63" s="24"/>
      <c r="L63" s="24"/>
      <c r="M63" s="24"/>
      <c r="N63" s="39"/>
      <c r="O63" s="40"/>
    </row>
    <row r="64" spans="1:16" x14ac:dyDescent="0.2">
      <c r="A64" s="87"/>
      <c r="B64" s="88" t="s">
        <v>131</v>
      </c>
      <c r="C64" s="87" t="s">
        <v>79</v>
      </c>
      <c r="D64" s="115">
        <v>2.8100270411063725E-2</v>
      </c>
      <c r="E64" s="115"/>
      <c r="F64" s="30">
        <v>2</v>
      </c>
      <c r="G64" s="96">
        <f>30/G13*1000</f>
        <v>0.35645964282743786</v>
      </c>
      <c r="H64" s="359">
        <f>33/469102*1000</f>
        <v>7.0347173962166012E-2</v>
      </c>
      <c r="I64" s="118">
        <v>2</v>
      </c>
      <c r="J64" s="23"/>
      <c r="K64" s="24"/>
      <c r="L64" s="24"/>
      <c r="M64" s="24"/>
      <c r="N64" s="39"/>
      <c r="O64" s="40"/>
    </row>
    <row r="65" spans="1:15" x14ac:dyDescent="0.2">
      <c r="A65" s="80"/>
      <c r="B65" s="105" t="s">
        <v>132</v>
      </c>
      <c r="C65" s="80" t="s">
        <v>133</v>
      </c>
      <c r="D65" s="115">
        <v>6.9169896396464559</v>
      </c>
      <c r="E65" s="115"/>
      <c r="F65" s="30">
        <v>45.2</v>
      </c>
      <c r="G65" s="96">
        <f>49/G13*100000</f>
        <v>58.221741661814853</v>
      </c>
      <c r="H65" s="358">
        <f>49/H13*100000</f>
        <v>58.221741661814853</v>
      </c>
      <c r="I65" s="118">
        <v>45.2</v>
      </c>
      <c r="J65" s="23"/>
      <c r="K65" s="24"/>
      <c r="L65" s="24"/>
      <c r="M65" s="24"/>
      <c r="N65" s="39"/>
      <c r="O65" s="40"/>
    </row>
    <row r="66" spans="1:15" x14ac:dyDescent="0.2">
      <c r="A66" s="80"/>
      <c r="B66" s="82" t="s">
        <v>134</v>
      </c>
      <c r="C66" s="80" t="s">
        <v>77</v>
      </c>
      <c r="D66" s="115">
        <v>0.37892133869688238</v>
      </c>
      <c r="E66" s="115"/>
      <c r="F66" s="30">
        <v>0.4</v>
      </c>
      <c r="G66" s="96">
        <f>1783/G13*100</f>
        <v>2.1185584772044059</v>
      </c>
      <c r="H66" s="139">
        <f>1800/469102*100</f>
        <v>0.38371185797545099</v>
      </c>
      <c r="I66" s="118">
        <v>0.4</v>
      </c>
      <c r="J66" s="23"/>
      <c r="K66" s="24"/>
      <c r="L66" s="24"/>
      <c r="M66" s="24"/>
      <c r="N66" s="39"/>
      <c r="O66" s="40"/>
    </row>
    <row r="67" spans="1:15" x14ac:dyDescent="0.2">
      <c r="A67" s="79">
        <v>10</v>
      </c>
      <c r="B67" s="65" t="s">
        <v>135</v>
      </c>
      <c r="C67" s="66" t="s">
        <v>77</v>
      </c>
      <c r="D67" s="42">
        <v>93.86</v>
      </c>
      <c r="E67" s="42">
        <v>96.4</v>
      </c>
      <c r="F67" s="30">
        <v>96.8</v>
      </c>
      <c r="G67" s="355"/>
      <c r="H67" s="96">
        <f>438422/469102*100</f>
        <v>93.459844554062869</v>
      </c>
      <c r="I67" s="118">
        <v>96.8</v>
      </c>
      <c r="J67" s="23"/>
      <c r="K67" s="24"/>
      <c r="L67" s="24"/>
      <c r="M67" s="24" t="s">
        <v>245</v>
      </c>
      <c r="N67" s="39"/>
      <c r="O67" s="40"/>
    </row>
    <row r="68" spans="1:15" x14ac:dyDescent="0.2">
      <c r="A68" s="77" t="s">
        <v>136</v>
      </c>
      <c r="B68" s="78" t="s">
        <v>137</v>
      </c>
      <c r="C68" s="77"/>
      <c r="D68" s="42"/>
      <c r="E68" s="42"/>
      <c r="F68" s="30"/>
      <c r="G68" s="30"/>
      <c r="H68" s="120"/>
      <c r="I68" s="118"/>
      <c r="J68" s="23"/>
      <c r="K68" s="24"/>
      <c r="L68" s="24"/>
      <c r="M68" s="24"/>
      <c r="N68" s="39"/>
      <c r="O68" s="40"/>
    </row>
    <row r="69" spans="1:15" x14ac:dyDescent="0.2">
      <c r="A69" s="77">
        <v>1</v>
      </c>
      <c r="B69" s="78" t="s">
        <v>138</v>
      </c>
      <c r="C69" s="77"/>
      <c r="D69" s="42"/>
      <c r="E69" s="42"/>
      <c r="F69" s="30"/>
      <c r="G69" s="30"/>
      <c r="H69" s="120"/>
      <c r="I69" s="118"/>
      <c r="J69" s="23"/>
      <c r="K69" s="24"/>
      <c r="L69" s="24"/>
      <c r="M69" s="24"/>
      <c r="N69" s="39"/>
      <c r="O69" s="40"/>
    </row>
    <row r="70" spans="1:15" x14ac:dyDescent="0.2">
      <c r="A70" s="79"/>
      <c r="B70" s="65" t="s">
        <v>139</v>
      </c>
      <c r="C70" s="79" t="s">
        <v>76</v>
      </c>
      <c r="D70" s="42">
        <v>56</v>
      </c>
      <c r="E70" s="42"/>
      <c r="F70" s="30">
        <v>50</v>
      </c>
      <c r="G70" s="30">
        <v>56</v>
      </c>
      <c r="H70" s="120">
        <v>56</v>
      </c>
      <c r="I70" s="120">
        <v>50</v>
      </c>
      <c r="J70" s="23"/>
      <c r="K70" s="24"/>
      <c r="L70" s="24"/>
      <c r="M70" s="24"/>
      <c r="N70" s="39"/>
      <c r="O70" s="40"/>
    </row>
    <row r="71" spans="1:15" x14ac:dyDescent="0.2">
      <c r="A71" s="79"/>
      <c r="B71" s="65" t="s">
        <v>140</v>
      </c>
      <c r="C71" s="79" t="s">
        <v>76</v>
      </c>
      <c r="D71" s="42">
        <v>120</v>
      </c>
      <c r="E71" s="42"/>
      <c r="F71" s="30">
        <v>171</v>
      </c>
      <c r="G71" s="30">
        <v>120</v>
      </c>
      <c r="H71" s="120">
        <v>120</v>
      </c>
      <c r="I71" s="120">
        <v>171</v>
      </c>
      <c r="J71" s="23"/>
      <c r="K71" s="24"/>
      <c r="L71" s="24"/>
      <c r="M71" s="24"/>
      <c r="N71" s="39"/>
      <c r="O71" s="40"/>
    </row>
    <row r="72" spans="1:15" x14ac:dyDescent="0.2">
      <c r="A72" s="79"/>
      <c r="B72" s="65" t="s">
        <v>141</v>
      </c>
      <c r="C72" s="79" t="s">
        <v>76</v>
      </c>
      <c r="D72" s="42">
        <v>82</v>
      </c>
      <c r="E72" s="42"/>
      <c r="F72" s="30"/>
      <c r="G72" s="30">
        <v>82</v>
      </c>
      <c r="H72" s="120">
        <v>82</v>
      </c>
      <c r="I72" s="120"/>
      <c r="J72" s="23"/>
      <c r="K72" s="24"/>
      <c r="L72" s="24"/>
      <c r="M72" s="24"/>
      <c r="N72" s="39"/>
      <c r="O72" s="40"/>
    </row>
    <row r="73" spans="1:15" x14ac:dyDescent="0.2">
      <c r="A73" s="79"/>
      <c r="B73" s="65" t="s">
        <v>142</v>
      </c>
      <c r="C73" s="79" t="s">
        <v>76</v>
      </c>
      <c r="D73" s="42">
        <v>12</v>
      </c>
      <c r="E73" s="42"/>
      <c r="F73" s="30">
        <v>12</v>
      </c>
      <c r="G73" s="30">
        <v>12</v>
      </c>
      <c r="H73" s="120">
        <v>12</v>
      </c>
      <c r="I73" s="120">
        <v>12</v>
      </c>
      <c r="J73" s="23"/>
      <c r="K73" s="24"/>
      <c r="L73" s="24"/>
      <c r="M73" s="24"/>
      <c r="N73" s="39"/>
      <c r="O73" s="40"/>
    </row>
    <row r="74" spans="1:15" x14ac:dyDescent="0.2">
      <c r="A74" s="77">
        <v>2</v>
      </c>
      <c r="B74" s="78" t="s">
        <v>143</v>
      </c>
      <c r="C74" s="77"/>
      <c r="D74" s="42"/>
      <c r="E74" s="42"/>
      <c r="F74" s="30"/>
      <c r="G74" s="30"/>
      <c r="H74" s="120"/>
      <c r="I74" s="120"/>
      <c r="J74" s="23"/>
      <c r="K74" s="24"/>
      <c r="L74" s="24"/>
      <c r="M74" s="24"/>
      <c r="N74" s="39"/>
      <c r="O74" s="40"/>
    </row>
    <row r="75" spans="1:15" x14ac:dyDescent="0.2">
      <c r="A75" s="79"/>
      <c r="B75" s="65" t="s">
        <v>139</v>
      </c>
      <c r="C75" s="79" t="s">
        <v>76</v>
      </c>
      <c r="D75" s="42">
        <v>10</v>
      </c>
      <c r="E75" s="42"/>
      <c r="F75" s="30">
        <v>20</v>
      </c>
      <c r="G75" s="30">
        <v>0</v>
      </c>
      <c r="H75" s="120">
        <v>0</v>
      </c>
      <c r="I75" s="120">
        <v>20</v>
      </c>
      <c r="J75" s="23"/>
      <c r="K75" s="24"/>
      <c r="L75" s="24"/>
      <c r="M75" s="24"/>
      <c r="N75" s="39"/>
      <c r="O75" s="40"/>
    </row>
    <row r="76" spans="1:15" x14ac:dyDescent="0.2">
      <c r="A76" s="79"/>
      <c r="B76" s="65" t="s">
        <v>140</v>
      </c>
      <c r="C76" s="79" t="s">
        <v>76</v>
      </c>
      <c r="D76" s="42">
        <v>80</v>
      </c>
      <c r="E76" s="42"/>
      <c r="F76" s="30">
        <v>15</v>
      </c>
      <c r="G76" s="30">
        <v>60</v>
      </c>
      <c r="H76" s="120">
        <v>60</v>
      </c>
      <c r="I76" s="120">
        <v>60</v>
      </c>
      <c r="J76" s="23"/>
      <c r="K76" s="24"/>
      <c r="L76" s="24"/>
      <c r="M76" s="24"/>
      <c r="N76" s="39"/>
      <c r="O76" s="40"/>
    </row>
    <row r="77" spans="1:15" ht="33.75" x14ac:dyDescent="0.2">
      <c r="A77" s="79"/>
      <c r="B77" s="65" t="s">
        <v>144</v>
      </c>
      <c r="C77" s="79" t="s">
        <v>76</v>
      </c>
      <c r="D77" s="42">
        <v>118</v>
      </c>
      <c r="E77" s="42"/>
      <c r="F77" s="30">
        <v>0</v>
      </c>
      <c r="G77" s="30">
        <v>0</v>
      </c>
      <c r="H77" s="120">
        <v>0</v>
      </c>
      <c r="I77" s="120">
        <v>0</v>
      </c>
      <c r="J77" s="23"/>
      <c r="K77" s="24"/>
      <c r="L77" s="24"/>
      <c r="M77" s="24"/>
      <c r="N77" s="39"/>
      <c r="O77" s="40"/>
    </row>
    <row r="78" spans="1:15" ht="22.5" x14ac:dyDescent="0.2">
      <c r="A78" s="51"/>
      <c r="B78" s="91" t="s">
        <v>145</v>
      </c>
      <c r="C78" s="92" t="s">
        <v>146</v>
      </c>
      <c r="D78" s="123">
        <v>2062</v>
      </c>
      <c r="E78" s="123"/>
      <c r="F78" s="120">
        <v>2200</v>
      </c>
      <c r="G78" s="120">
        <v>2245</v>
      </c>
      <c r="H78" s="120">
        <v>2295</v>
      </c>
      <c r="I78" s="120">
        <v>2200</v>
      </c>
      <c r="J78" s="23"/>
      <c r="K78" s="24"/>
      <c r="L78" s="24"/>
      <c r="M78" s="24"/>
      <c r="N78" s="39"/>
      <c r="O78" s="40"/>
    </row>
    <row r="79" spans="1:15" ht="15.75" x14ac:dyDescent="0.25">
      <c r="A79" s="643" t="s">
        <v>33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</row>
  </sheetData>
  <mergeCells count="18">
    <mergeCell ref="A1:B1"/>
    <mergeCell ref="A2:O2"/>
    <mergeCell ref="A3:O3"/>
    <mergeCell ref="A5:A6"/>
    <mergeCell ref="B5:B6"/>
    <mergeCell ref="C5:C6"/>
    <mergeCell ref="D5:D6"/>
    <mergeCell ref="F5:I5"/>
    <mergeCell ref="N5:N6"/>
    <mergeCell ref="O5:O6"/>
    <mergeCell ref="B9:O9"/>
    <mergeCell ref="A79:O79"/>
    <mergeCell ref="E5:E6"/>
    <mergeCell ref="J5:M5"/>
    <mergeCell ref="N39:O40"/>
    <mergeCell ref="N41:O41"/>
    <mergeCell ref="M39:M40"/>
    <mergeCell ref="N60:O60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workbookViewId="0">
      <pane ySplit="6" topLeftCell="A31" activePane="bottomLeft" state="frozen"/>
      <selection pane="bottomLeft" activeCell="M51" sqref="M51"/>
    </sheetView>
  </sheetViews>
  <sheetFormatPr defaultRowHeight="12.75" x14ac:dyDescent="0.2"/>
  <cols>
    <col min="1" max="1" width="4.5" style="7" customWidth="1"/>
    <col min="2" max="2" width="25.75" style="7" customWidth="1"/>
    <col min="3" max="3" width="9" style="7"/>
    <col min="4" max="4" width="9.625" style="48" bestFit="1" customWidth="1"/>
    <col min="5" max="5" width="9.375" style="49" customWidth="1"/>
    <col min="6" max="6" width="9.75" style="49" bestFit="1" customWidth="1"/>
    <col min="7" max="7" width="10.5" style="49" bestFit="1" customWidth="1"/>
    <col min="8" max="8" width="9.875" style="49" bestFit="1" customWidth="1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 x14ac:dyDescent="0.25">
      <c r="A1" s="633" t="s">
        <v>8</v>
      </c>
      <c r="B1" s="633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customHeight="1" x14ac:dyDescent="0.25">
      <c r="A2" s="637" t="s">
        <v>262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4" ht="15.75" x14ac:dyDescent="0.25">
      <c r="A3" s="636" t="s">
        <v>263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</row>
    <row r="4" spans="1:14" ht="15.75" x14ac:dyDescent="0.25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4" ht="12.75" customHeight="1" x14ac:dyDescent="0.2">
      <c r="A5" s="652" t="s">
        <v>9</v>
      </c>
      <c r="B5" s="654" t="s">
        <v>10</v>
      </c>
      <c r="C5" s="654" t="s">
        <v>11</v>
      </c>
      <c r="D5" s="638" t="s">
        <v>264</v>
      </c>
      <c r="E5" s="656" t="s">
        <v>152</v>
      </c>
      <c r="F5" s="657"/>
      <c r="G5" s="657"/>
      <c r="H5" s="658"/>
      <c r="I5" s="656" t="s">
        <v>0</v>
      </c>
      <c r="J5" s="658"/>
      <c r="K5" s="659" t="s">
        <v>1</v>
      </c>
      <c r="L5" s="650" t="s">
        <v>2</v>
      </c>
    </row>
    <row r="6" spans="1:14" ht="85.5" customHeight="1" x14ac:dyDescent="0.2">
      <c r="A6" s="653"/>
      <c r="B6" s="655"/>
      <c r="C6" s="655"/>
      <c r="D6" s="639"/>
      <c r="E6" s="379" t="s">
        <v>3</v>
      </c>
      <c r="F6" s="379" t="s">
        <v>265</v>
      </c>
      <c r="G6" s="379" t="s">
        <v>266</v>
      </c>
      <c r="H6" s="379" t="s">
        <v>4</v>
      </c>
      <c r="I6" s="379" t="s">
        <v>23</v>
      </c>
      <c r="J6" s="379" t="s">
        <v>24</v>
      </c>
      <c r="K6" s="660"/>
      <c r="L6" s="651"/>
    </row>
    <row r="7" spans="1:14" x14ac:dyDescent="0.2">
      <c r="A7" s="9" t="s">
        <v>5</v>
      </c>
      <c r="B7" s="9" t="s">
        <v>6</v>
      </c>
      <c r="C7" s="9" t="s">
        <v>7</v>
      </c>
      <c r="D7" s="10">
        <v>1</v>
      </c>
      <c r="E7" s="10">
        <v>2</v>
      </c>
      <c r="F7" s="10">
        <v>4</v>
      </c>
      <c r="G7" s="10">
        <v>5</v>
      </c>
      <c r="H7" s="10">
        <v>6</v>
      </c>
      <c r="I7" s="11">
        <v>7</v>
      </c>
      <c r="J7" s="11">
        <v>8</v>
      </c>
      <c r="K7" s="9">
        <v>9</v>
      </c>
      <c r="L7" s="9">
        <v>10</v>
      </c>
    </row>
    <row r="8" spans="1:14" ht="13.5" x14ac:dyDescent="0.25">
      <c r="A8" s="12"/>
      <c r="B8" s="12"/>
      <c r="C8" s="12"/>
      <c r="D8" s="13"/>
      <c r="E8" s="13"/>
      <c r="F8" s="14"/>
      <c r="G8" s="14"/>
      <c r="H8" s="14"/>
      <c r="I8" s="15"/>
      <c r="J8" s="15"/>
      <c r="K8" s="16"/>
      <c r="L8" s="12"/>
      <c r="N8" s="17"/>
    </row>
    <row r="9" spans="1:14" x14ac:dyDescent="0.2">
      <c r="A9" s="18" t="s">
        <v>12</v>
      </c>
      <c r="B9" s="640" t="s">
        <v>16</v>
      </c>
      <c r="C9" s="641"/>
      <c r="D9" s="641"/>
      <c r="E9" s="641"/>
      <c r="F9" s="641"/>
      <c r="G9" s="641"/>
      <c r="H9" s="641"/>
      <c r="I9" s="641"/>
      <c r="J9" s="641"/>
      <c r="K9" s="641"/>
      <c r="L9" s="642"/>
    </row>
    <row r="10" spans="1:14" x14ac:dyDescent="0.2">
      <c r="A10" s="377">
        <v>1</v>
      </c>
      <c r="B10" s="93" t="s">
        <v>63</v>
      </c>
      <c r="C10" s="19"/>
      <c r="D10" s="21"/>
      <c r="E10" s="22"/>
      <c r="F10" s="21"/>
      <c r="G10" s="21"/>
      <c r="H10" s="21"/>
      <c r="I10" s="23"/>
      <c r="J10" s="380"/>
      <c r="K10" s="25"/>
      <c r="L10" s="26"/>
    </row>
    <row r="11" spans="1:14" x14ac:dyDescent="0.2">
      <c r="A11" s="373"/>
      <c r="B11" s="65" t="s">
        <v>64</v>
      </c>
      <c r="C11" s="66" t="s">
        <v>76</v>
      </c>
      <c r="D11" s="107">
        <f>D13+D14</f>
        <v>462629</v>
      </c>
      <c r="E11" s="120">
        <f>E13+E14</f>
        <v>469102</v>
      </c>
      <c r="F11" s="107">
        <f t="shared" ref="F11" si="0">F13+F14</f>
        <v>469102</v>
      </c>
      <c r="G11" s="127">
        <v>469102</v>
      </c>
      <c r="H11" s="127">
        <v>469102</v>
      </c>
      <c r="I11" s="23"/>
      <c r="J11" s="380"/>
      <c r="K11" s="31"/>
      <c r="L11" s="32"/>
    </row>
    <row r="12" spans="1:14" x14ac:dyDescent="0.2">
      <c r="A12" s="373"/>
      <c r="B12" s="65" t="s">
        <v>65</v>
      </c>
      <c r="C12" s="66"/>
      <c r="D12" s="99"/>
      <c r="E12" s="30"/>
      <c r="F12" s="107"/>
      <c r="G12" s="127"/>
      <c r="H12" s="127"/>
      <c r="I12" s="23"/>
      <c r="J12" s="380"/>
      <c r="K12" s="31"/>
      <c r="L12" s="32"/>
    </row>
    <row r="13" spans="1:14" x14ac:dyDescent="0.2">
      <c r="A13" s="373"/>
      <c r="B13" s="65" t="s">
        <v>66</v>
      </c>
      <c r="C13" s="66" t="s">
        <v>76</v>
      </c>
      <c r="D13" s="99">
        <v>82594</v>
      </c>
      <c r="E13" s="120">
        <v>84161</v>
      </c>
      <c r="F13" s="107">
        <v>84161</v>
      </c>
      <c r="G13" s="127">
        <v>84161</v>
      </c>
      <c r="H13" s="127">
        <v>84161</v>
      </c>
      <c r="I13" s="23"/>
      <c r="J13" s="380"/>
      <c r="K13" s="31"/>
      <c r="L13" s="32"/>
    </row>
    <row r="14" spans="1:14" x14ac:dyDescent="0.2">
      <c r="A14" s="373"/>
      <c r="B14" s="65" t="s">
        <v>67</v>
      </c>
      <c r="C14" s="66" t="s">
        <v>76</v>
      </c>
      <c r="D14" s="99">
        <v>380035</v>
      </c>
      <c r="E14" s="120">
        <v>384941</v>
      </c>
      <c r="F14" s="107">
        <v>384941</v>
      </c>
      <c r="G14" s="127">
        <v>384941</v>
      </c>
      <c r="H14" s="127">
        <v>384941</v>
      </c>
      <c r="I14" s="23"/>
      <c r="J14" s="380"/>
      <c r="K14" s="33"/>
      <c r="L14" s="34"/>
    </row>
    <row r="15" spans="1:14" x14ac:dyDescent="0.2">
      <c r="A15" s="373"/>
      <c r="B15" s="65" t="s">
        <v>68</v>
      </c>
      <c r="C15" s="66" t="s">
        <v>76</v>
      </c>
      <c r="D15" s="99">
        <v>390371</v>
      </c>
      <c r="E15" s="120">
        <v>397043</v>
      </c>
      <c r="F15" s="107">
        <v>397043</v>
      </c>
      <c r="G15" s="127">
        <v>397043</v>
      </c>
      <c r="H15" s="127">
        <v>397043</v>
      </c>
      <c r="I15" s="23"/>
      <c r="J15" s="380"/>
      <c r="K15" s="33"/>
      <c r="L15" s="34"/>
    </row>
    <row r="16" spans="1:14" x14ac:dyDescent="0.2">
      <c r="A16" s="373"/>
      <c r="B16" s="65" t="s">
        <v>69</v>
      </c>
      <c r="C16" s="66" t="s">
        <v>77</v>
      </c>
      <c r="D16" s="142">
        <v>2.04</v>
      </c>
      <c r="E16" s="121">
        <v>1.45</v>
      </c>
      <c r="F16" s="29"/>
      <c r="G16" s="128">
        <v>1.43</v>
      </c>
      <c r="H16" s="125">
        <v>1.45</v>
      </c>
      <c r="I16" s="23"/>
      <c r="J16" s="380"/>
      <c r="K16" s="35"/>
      <c r="L16" s="36"/>
    </row>
    <row r="17" spans="1:12" x14ac:dyDescent="0.2">
      <c r="A17" s="373"/>
      <c r="B17" s="65" t="s">
        <v>70</v>
      </c>
      <c r="C17" s="66" t="s">
        <v>78</v>
      </c>
      <c r="D17" s="142">
        <v>0.86</v>
      </c>
      <c r="E17" s="121">
        <v>0.5</v>
      </c>
      <c r="F17" s="29"/>
      <c r="G17" s="128">
        <v>0.7</v>
      </c>
      <c r="H17" s="125">
        <v>0.5</v>
      </c>
      <c r="I17" s="23"/>
      <c r="J17" s="380"/>
      <c r="K17" s="31"/>
      <c r="L17" s="32"/>
    </row>
    <row r="18" spans="1:12" x14ac:dyDescent="0.2">
      <c r="A18" s="373"/>
      <c r="B18" s="65" t="s">
        <v>71</v>
      </c>
      <c r="C18" s="66" t="s">
        <v>79</v>
      </c>
      <c r="D18" s="142">
        <v>15.75</v>
      </c>
      <c r="E18" s="121">
        <v>15.45</v>
      </c>
      <c r="F18" s="30"/>
      <c r="G18" s="121">
        <v>14.51</v>
      </c>
      <c r="H18" s="118">
        <v>15.45</v>
      </c>
      <c r="I18" s="23"/>
      <c r="J18" s="380"/>
      <c r="K18" s="35"/>
      <c r="L18" s="36"/>
    </row>
    <row r="19" spans="1:12" ht="22.5" x14ac:dyDescent="0.2">
      <c r="A19" s="373"/>
      <c r="B19" s="65" t="s">
        <v>72</v>
      </c>
      <c r="C19" s="66" t="s">
        <v>77</v>
      </c>
      <c r="D19" s="374">
        <v>109.06</v>
      </c>
      <c r="E19" s="122">
        <v>109.6</v>
      </c>
      <c r="F19" s="37"/>
      <c r="G19" s="37">
        <v>110</v>
      </c>
      <c r="H19" s="126">
        <v>109.6</v>
      </c>
      <c r="I19" s="23"/>
      <c r="J19" s="380"/>
      <c r="K19" s="38"/>
      <c r="L19" s="142"/>
    </row>
    <row r="20" spans="1:12" x14ac:dyDescent="0.2">
      <c r="A20" s="373">
        <v>2</v>
      </c>
      <c r="B20" s="64" t="s">
        <v>73</v>
      </c>
      <c r="C20" s="66"/>
      <c r="D20" s="374"/>
      <c r="E20" s="120"/>
      <c r="F20" s="30"/>
      <c r="G20" s="120"/>
      <c r="H20" s="118"/>
      <c r="I20" s="23"/>
      <c r="J20" s="380"/>
      <c r="K20" s="35"/>
      <c r="L20" s="36"/>
    </row>
    <row r="21" spans="1:12" ht="22.5" x14ac:dyDescent="0.2">
      <c r="A21" s="373"/>
      <c r="B21" s="65" t="s">
        <v>74</v>
      </c>
      <c r="C21" s="66" t="s">
        <v>77</v>
      </c>
      <c r="D21" s="374">
        <v>70.19</v>
      </c>
      <c r="E21" s="119">
        <v>70</v>
      </c>
      <c r="F21" s="30"/>
      <c r="G21" s="119">
        <v>69.44</v>
      </c>
      <c r="H21" s="118">
        <v>70</v>
      </c>
      <c r="I21" s="23"/>
      <c r="J21" s="380"/>
      <c r="K21" s="39"/>
      <c r="L21" s="142"/>
    </row>
    <row r="22" spans="1:12" ht="22.5" x14ac:dyDescent="0.2">
      <c r="A22" s="375"/>
      <c r="B22" s="69" t="s">
        <v>75</v>
      </c>
      <c r="C22" s="70" t="s">
        <v>77</v>
      </c>
      <c r="D22" s="71">
        <v>16.09</v>
      </c>
      <c r="E22" s="119">
        <v>15.5</v>
      </c>
      <c r="F22" s="42"/>
      <c r="G22" s="385">
        <v>16.55</v>
      </c>
      <c r="H22" s="115">
        <v>15.5</v>
      </c>
      <c r="I22" s="23"/>
      <c r="J22" s="380"/>
      <c r="K22" s="39"/>
      <c r="L22" s="40"/>
    </row>
    <row r="23" spans="1:12" x14ac:dyDescent="0.2">
      <c r="A23" s="74" t="s">
        <v>6</v>
      </c>
      <c r="B23" s="75" t="s">
        <v>18</v>
      </c>
      <c r="C23" s="40"/>
      <c r="D23" s="42"/>
      <c r="E23" s="30"/>
      <c r="F23" s="42"/>
      <c r="G23" s="42"/>
      <c r="H23" s="42"/>
      <c r="I23" s="23"/>
      <c r="J23" s="380"/>
      <c r="K23" s="39"/>
      <c r="L23" s="40"/>
    </row>
    <row r="24" spans="1:12" x14ac:dyDescent="0.2">
      <c r="A24" s="89" t="s">
        <v>12</v>
      </c>
      <c r="B24" s="90" t="s">
        <v>80</v>
      </c>
      <c r="C24" s="40"/>
      <c r="D24" s="42"/>
      <c r="E24" s="30"/>
      <c r="F24" s="42"/>
      <c r="G24" s="42"/>
      <c r="H24" s="42"/>
      <c r="I24" s="23"/>
      <c r="J24" s="380"/>
      <c r="K24" s="39"/>
      <c r="L24" s="40"/>
    </row>
    <row r="25" spans="1:12" x14ac:dyDescent="0.2">
      <c r="A25" s="79">
        <v>1</v>
      </c>
      <c r="B25" s="65" t="s">
        <v>81</v>
      </c>
      <c r="C25" s="79" t="s">
        <v>82</v>
      </c>
      <c r="D25" s="374">
        <v>122</v>
      </c>
      <c r="E25" s="30">
        <v>122</v>
      </c>
      <c r="F25" s="30">
        <v>122</v>
      </c>
      <c r="G25" s="120">
        <f>SUM(G26:G32)</f>
        <v>120</v>
      </c>
      <c r="H25" s="120">
        <f>SUM(H26:H32)</f>
        <v>120</v>
      </c>
      <c r="I25" s="23"/>
      <c r="J25" s="380"/>
      <c r="K25" s="39"/>
      <c r="L25" s="40"/>
    </row>
    <row r="26" spans="1:12" x14ac:dyDescent="0.2">
      <c r="A26" s="80"/>
      <c r="B26" s="81" t="s">
        <v>83</v>
      </c>
      <c r="C26" s="80" t="s">
        <v>84</v>
      </c>
      <c r="D26" s="374">
        <v>1</v>
      </c>
      <c r="E26" s="30">
        <v>1</v>
      </c>
      <c r="F26" s="30">
        <v>1</v>
      </c>
      <c r="G26" s="120">
        <v>1</v>
      </c>
      <c r="H26" s="30">
        <v>1</v>
      </c>
      <c r="I26" s="23"/>
      <c r="J26" s="380"/>
      <c r="K26" s="39"/>
      <c r="L26" s="40"/>
    </row>
    <row r="27" spans="1:12" x14ac:dyDescent="0.2">
      <c r="A27" s="80"/>
      <c r="B27" s="81" t="s">
        <v>85</v>
      </c>
      <c r="C27" s="80" t="s">
        <v>84</v>
      </c>
      <c r="D27" s="374">
        <v>2</v>
      </c>
      <c r="E27" s="30">
        <v>2</v>
      </c>
      <c r="F27" s="30">
        <v>2</v>
      </c>
      <c r="G27" s="120">
        <v>2</v>
      </c>
      <c r="H27" s="30">
        <v>2</v>
      </c>
      <c r="I27" s="23"/>
      <c r="J27" s="380"/>
      <c r="K27" s="39"/>
      <c r="L27" s="40"/>
    </row>
    <row r="28" spans="1:12" x14ac:dyDescent="0.2">
      <c r="A28" s="80"/>
      <c r="B28" s="81" t="s">
        <v>149</v>
      </c>
      <c r="C28" s="80" t="s">
        <v>87</v>
      </c>
      <c r="D28" s="374">
        <v>1</v>
      </c>
      <c r="E28" s="30">
        <v>1</v>
      </c>
      <c r="F28" s="30">
        <v>1</v>
      </c>
      <c r="G28" s="120">
        <v>1</v>
      </c>
      <c r="H28" s="30">
        <v>1</v>
      </c>
      <c r="I28" s="23"/>
      <c r="J28" s="380"/>
      <c r="K28" s="39"/>
      <c r="L28" s="40"/>
    </row>
    <row r="29" spans="1:12" x14ac:dyDescent="0.2">
      <c r="A29" s="80"/>
      <c r="B29" s="81" t="s">
        <v>86</v>
      </c>
      <c r="C29" s="80" t="s">
        <v>87</v>
      </c>
      <c r="D29" s="374">
        <v>8</v>
      </c>
      <c r="E29" s="30">
        <v>8</v>
      </c>
      <c r="F29" s="30">
        <v>8</v>
      </c>
      <c r="G29" s="120">
        <v>8</v>
      </c>
      <c r="H29" s="30">
        <v>8</v>
      </c>
      <c r="I29" s="23"/>
      <c r="J29" s="380"/>
      <c r="K29" s="39"/>
      <c r="L29" s="40"/>
    </row>
    <row r="30" spans="1:12" x14ac:dyDescent="0.2">
      <c r="A30" s="80"/>
      <c r="B30" s="98" t="s">
        <v>151</v>
      </c>
      <c r="C30" s="80" t="s">
        <v>87</v>
      </c>
      <c r="D30" s="374">
        <v>1</v>
      </c>
      <c r="E30" s="30">
        <v>1</v>
      </c>
      <c r="F30" s="30">
        <v>1</v>
      </c>
      <c r="G30" s="120">
        <v>1</v>
      </c>
      <c r="H30" s="30">
        <v>1</v>
      </c>
      <c r="I30" s="23"/>
      <c r="J30" s="380"/>
      <c r="K30" s="39"/>
      <c r="L30" s="40"/>
    </row>
    <row r="31" spans="1:12" x14ac:dyDescent="0.2">
      <c r="A31" s="80"/>
      <c r="B31" s="82" t="s">
        <v>88</v>
      </c>
      <c r="C31" s="80" t="s">
        <v>89</v>
      </c>
      <c r="D31" s="374">
        <v>4</v>
      </c>
      <c r="E31" s="30">
        <v>4</v>
      </c>
      <c r="F31" s="30">
        <v>4</v>
      </c>
      <c r="G31" s="120">
        <v>4</v>
      </c>
      <c r="H31" s="30">
        <v>4</v>
      </c>
      <c r="I31" s="23"/>
      <c r="J31" s="380"/>
      <c r="K31" s="39"/>
      <c r="L31" s="40"/>
    </row>
    <row r="32" spans="1:12" x14ac:dyDescent="0.2">
      <c r="A32" s="80"/>
      <c r="B32" s="82" t="s">
        <v>90</v>
      </c>
      <c r="C32" s="80" t="s">
        <v>91</v>
      </c>
      <c r="D32" s="374">
        <v>105</v>
      </c>
      <c r="E32" s="30">
        <v>105</v>
      </c>
      <c r="F32" s="30">
        <v>105</v>
      </c>
      <c r="G32" s="120">
        <v>103</v>
      </c>
      <c r="H32" s="30">
        <v>103</v>
      </c>
      <c r="I32" s="23"/>
      <c r="J32" s="380"/>
      <c r="K32" s="39"/>
      <c r="L32" s="40"/>
    </row>
    <row r="33" spans="1:13" x14ac:dyDescent="0.2">
      <c r="A33" s="79">
        <v>2</v>
      </c>
      <c r="B33" s="65" t="s">
        <v>92</v>
      </c>
      <c r="C33" s="79" t="s">
        <v>82</v>
      </c>
      <c r="D33" s="374">
        <v>2</v>
      </c>
      <c r="E33" s="30">
        <v>2</v>
      </c>
      <c r="F33" s="30">
        <v>2</v>
      </c>
      <c r="G33" s="120">
        <v>2</v>
      </c>
      <c r="H33" s="30">
        <v>2</v>
      </c>
      <c r="I33" s="23"/>
      <c r="J33" s="380"/>
      <c r="K33" s="39"/>
      <c r="L33" s="40"/>
    </row>
    <row r="34" spans="1:13" x14ac:dyDescent="0.2">
      <c r="A34" s="79">
        <v>3</v>
      </c>
      <c r="B34" s="83" t="s">
        <v>93</v>
      </c>
      <c r="C34" s="79" t="s">
        <v>94</v>
      </c>
      <c r="D34" s="99">
        <v>1450</v>
      </c>
      <c r="E34" s="120">
        <f>E35+E36</f>
        <v>1580</v>
      </c>
      <c r="F34" s="120">
        <v>1580</v>
      </c>
      <c r="G34" s="120">
        <v>1580</v>
      </c>
      <c r="H34" s="120">
        <v>1580</v>
      </c>
      <c r="I34" s="23"/>
      <c r="J34" s="380"/>
      <c r="K34" s="39"/>
      <c r="L34" s="40"/>
    </row>
    <row r="35" spans="1:13" x14ac:dyDescent="0.2">
      <c r="A35" s="79"/>
      <c r="B35" s="83" t="s">
        <v>95</v>
      </c>
      <c r="C35" s="79" t="s">
        <v>94</v>
      </c>
      <c r="D35" s="374">
        <v>590</v>
      </c>
      <c r="E35" s="30">
        <v>660</v>
      </c>
      <c r="F35" s="30">
        <v>660</v>
      </c>
      <c r="G35" s="120">
        <v>660</v>
      </c>
      <c r="H35" s="30">
        <v>660</v>
      </c>
      <c r="I35" s="23"/>
      <c r="J35" s="380"/>
      <c r="K35" s="39"/>
      <c r="L35" s="40"/>
    </row>
    <row r="36" spans="1:13" x14ac:dyDescent="0.2">
      <c r="A36" s="79"/>
      <c r="B36" s="83" t="s">
        <v>96</v>
      </c>
      <c r="C36" s="79" t="s">
        <v>94</v>
      </c>
      <c r="D36" s="374">
        <v>860</v>
      </c>
      <c r="E36" s="30">
        <f>E37+E38</f>
        <v>920</v>
      </c>
      <c r="F36" s="30">
        <v>920</v>
      </c>
      <c r="G36" s="120">
        <v>920</v>
      </c>
      <c r="H36" s="30">
        <v>920</v>
      </c>
      <c r="I36" s="23"/>
      <c r="J36" s="380"/>
      <c r="K36" s="39"/>
      <c r="L36" s="40"/>
    </row>
    <row r="37" spans="1:13" x14ac:dyDescent="0.2">
      <c r="A37" s="80"/>
      <c r="B37" s="81" t="s">
        <v>97</v>
      </c>
      <c r="C37" s="79" t="s">
        <v>94</v>
      </c>
      <c r="D37" s="374">
        <v>800</v>
      </c>
      <c r="E37" s="30">
        <v>860</v>
      </c>
      <c r="F37" s="30">
        <v>860</v>
      </c>
      <c r="G37" s="120">
        <v>860</v>
      </c>
      <c r="H37" s="30">
        <v>860</v>
      </c>
      <c r="I37" s="23"/>
      <c r="J37" s="380"/>
      <c r="K37" s="39"/>
      <c r="L37" s="40"/>
    </row>
    <row r="38" spans="1:13" x14ac:dyDescent="0.2">
      <c r="A38" s="80"/>
      <c r="B38" s="95" t="s">
        <v>150</v>
      </c>
      <c r="C38" s="80" t="s">
        <v>94</v>
      </c>
      <c r="D38" s="374">
        <v>60</v>
      </c>
      <c r="E38" s="30">
        <v>60</v>
      </c>
      <c r="F38" s="30">
        <v>60</v>
      </c>
      <c r="G38" s="120">
        <v>60</v>
      </c>
      <c r="H38" s="30">
        <v>60</v>
      </c>
      <c r="I38" s="23"/>
      <c r="J38" s="380"/>
      <c r="K38" s="39"/>
      <c r="L38" s="40"/>
    </row>
    <row r="39" spans="1:13" ht="22.5" x14ac:dyDescent="0.2">
      <c r="A39" s="79">
        <v>4</v>
      </c>
      <c r="B39" s="65" t="s">
        <v>98</v>
      </c>
      <c r="C39" s="79" t="s">
        <v>94</v>
      </c>
      <c r="D39" s="374">
        <v>31.68</v>
      </c>
      <c r="E39" s="118">
        <f>E34/E11*10000</f>
        <v>33.68137420006736</v>
      </c>
      <c r="F39" s="118">
        <v>33.68137420006736</v>
      </c>
      <c r="G39" s="118">
        <v>33.68137420006736</v>
      </c>
      <c r="H39" s="118">
        <v>33.68137420006736</v>
      </c>
      <c r="I39" s="23"/>
      <c r="J39" s="380"/>
      <c r="K39" s="39"/>
      <c r="L39" s="40"/>
    </row>
    <row r="40" spans="1:13" ht="22.5" x14ac:dyDescent="0.2">
      <c r="A40" s="80"/>
      <c r="B40" s="84" t="s">
        <v>99</v>
      </c>
      <c r="C40" s="80" t="s">
        <v>100</v>
      </c>
      <c r="D40" s="374">
        <v>31.68</v>
      </c>
      <c r="E40" s="118">
        <f>E34/E11*10000</f>
        <v>33.68137420006736</v>
      </c>
      <c r="F40" s="118">
        <v>33.68137420006736</v>
      </c>
      <c r="G40" s="118">
        <v>33.68137420006736</v>
      </c>
      <c r="H40" s="118">
        <v>33.68137420006736</v>
      </c>
      <c r="I40" s="23"/>
      <c r="J40" s="380"/>
      <c r="K40" s="39"/>
      <c r="L40" s="40"/>
    </row>
    <row r="41" spans="1:13" x14ac:dyDescent="0.2">
      <c r="A41" s="77" t="s">
        <v>101</v>
      </c>
      <c r="B41" s="78" t="s">
        <v>102</v>
      </c>
      <c r="C41" s="77"/>
      <c r="D41" s="376"/>
      <c r="E41" s="30"/>
      <c r="F41" s="42"/>
      <c r="G41" s="120"/>
      <c r="H41" s="42"/>
      <c r="I41" s="23"/>
      <c r="J41" s="380"/>
      <c r="K41" s="39"/>
      <c r="L41" s="40"/>
    </row>
    <row r="42" spans="1:13" x14ac:dyDescent="0.2">
      <c r="A42" s="79">
        <v>1</v>
      </c>
      <c r="B42" s="65" t="s">
        <v>103</v>
      </c>
      <c r="C42" s="101" t="s">
        <v>76</v>
      </c>
      <c r="D42" s="106">
        <v>2842</v>
      </c>
      <c r="E42" s="30">
        <v>3085</v>
      </c>
      <c r="F42" s="120">
        <v>2790</v>
      </c>
      <c r="G42" s="120">
        <v>2779</v>
      </c>
      <c r="H42" s="120">
        <v>3085</v>
      </c>
      <c r="I42" s="23"/>
      <c r="J42" s="380"/>
      <c r="K42" s="39"/>
      <c r="L42" s="40"/>
    </row>
    <row r="43" spans="1:13" x14ac:dyDescent="0.2">
      <c r="A43" s="79"/>
      <c r="B43" s="65" t="s">
        <v>104</v>
      </c>
      <c r="C43" s="101"/>
      <c r="D43" s="28"/>
      <c r="E43" s="30"/>
      <c r="F43" s="120"/>
      <c r="G43" s="120"/>
      <c r="H43" s="120"/>
      <c r="I43" s="23"/>
      <c r="J43" s="380"/>
      <c r="K43" s="39"/>
      <c r="L43" s="40"/>
      <c r="M43" s="146">
        <f>((G44+39+38+55)/469102)*10000</f>
        <v>11.873750271795901</v>
      </c>
    </row>
    <row r="44" spans="1:13" x14ac:dyDescent="0.2">
      <c r="A44" s="79" t="s">
        <v>105</v>
      </c>
      <c r="B44" s="65" t="s">
        <v>106</v>
      </c>
      <c r="C44" s="101" t="s">
        <v>76</v>
      </c>
      <c r="D44" s="28">
        <v>419</v>
      </c>
      <c r="E44" s="30">
        <v>568</v>
      </c>
      <c r="F44" s="120">
        <v>427</v>
      </c>
      <c r="G44" s="120">
        <v>425</v>
      </c>
      <c r="H44" s="120">
        <v>568</v>
      </c>
      <c r="I44" s="23"/>
      <c r="J44" s="380"/>
      <c r="K44" s="39"/>
      <c r="L44" s="40"/>
    </row>
    <row r="45" spans="1:13" x14ac:dyDescent="0.2">
      <c r="A45" s="80"/>
      <c r="B45" s="82" t="s">
        <v>107</v>
      </c>
      <c r="C45" s="102" t="s">
        <v>108</v>
      </c>
      <c r="D45" s="104">
        <v>9.0569333094120772</v>
      </c>
      <c r="E45" s="118">
        <f>E44/E11*10000</f>
        <v>12.108240851669786</v>
      </c>
      <c r="F45" s="118">
        <f>F44/F11*10000</f>
        <v>9.10249796419542</v>
      </c>
      <c r="G45" s="118">
        <f>G44/G11*10000</f>
        <v>9.0598633133092594</v>
      </c>
      <c r="H45" s="118">
        <v>12.108240851669786</v>
      </c>
      <c r="I45" s="23"/>
      <c r="J45" s="380"/>
      <c r="K45" s="39"/>
      <c r="L45" s="40"/>
    </row>
    <row r="46" spans="1:13" x14ac:dyDescent="0.2">
      <c r="A46" s="79" t="s">
        <v>109</v>
      </c>
      <c r="B46" s="65" t="s">
        <v>110</v>
      </c>
      <c r="C46" s="101" t="s">
        <v>76</v>
      </c>
      <c r="D46" s="28">
        <v>52</v>
      </c>
      <c r="E46" s="30">
        <v>65</v>
      </c>
      <c r="F46" s="120">
        <v>60</v>
      </c>
      <c r="G46" s="120">
        <v>58</v>
      </c>
      <c r="H46" s="120">
        <v>65</v>
      </c>
      <c r="I46" s="23"/>
      <c r="J46" s="380"/>
      <c r="K46" s="39"/>
      <c r="L46" s="40"/>
    </row>
    <row r="47" spans="1:13" x14ac:dyDescent="0.2">
      <c r="A47" s="80"/>
      <c r="B47" s="82" t="s">
        <v>111</v>
      </c>
      <c r="C47" s="102" t="s">
        <v>108</v>
      </c>
      <c r="D47" s="104">
        <v>1.1240108164425491</v>
      </c>
      <c r="E47" s="118">
        <f>E46/E11*10000</f>
        <v>1.3856261538002397</v>
      </c>
      <c r="F47" s="118">
        <f>F46/F11*10000</f>
        <v>1.2790395265848367</v>
      </c>
      <c r="G47" s="118">
        <f>G46/G11*10000</f>
        <v>1.2364048756986754</v>
      </c>
      <c r="H47" s="118">
        <v>1.3856261538002397</v>
      </c>
      <c r="I47" s="23"/>
      <c r="J47" s="380"/>
      <c r="K47" s="39"/>
      <c r="L47" s="40"/>
    </row>
    <row r="48" spans="1:13" ht="22.5" x14ac:dyDescent="0.2">
      <c r="A48" s="79">
        <v>3</v>
      </c>
      <c r="B48" s="65" t="s">
        <v>112</v>
      </c>
      <c r="C48" s="101" t="s">
        <v>77</v>
      </c>
      <c r="D48" s="104">
        <v>17.592592592592592</v>
      </c>
      <c r="E48" s="118">
        <f>20/108*100</f>
        <v>18.518518518518519</v>
      </c>
      <c r="F48" s="118">
        <f>20/106*100</f>
        <v>18.867924528301888</v>
      </c>
      <c r="G48" s="118">
        <f>20/106*100</f>
        <v>18.867924528301888</v>
      </c>
      <c r="H48" s="118">
        <f>20/106*100</f>
        <v>18.867924528301888</v>
      </c>
      <c r="I48" s="23"/>
      <c r="J48" s="380"/>
      <c r="K48" s="39"/>
      <c r="L48" s="40"/>
      <c r="M48" s="7">
        <f>20/108*100</f>
        <v>18.518518518518519</v>
      </c>
    </row>
    <row r="49" spans="1:13" ht="22.5" x14ac:dyDescent="0.2">
      <c r="A49" s="79">
        <v>5</v>
      </c>
      <c r="B49" s="65" t="s">
        <v>113</v>
      </c>
      <c r="C49" s="79" t="s">
        <v>77</v>
      </c>
      <c r="D49" s="103">
        <v>95.909090909090907</v>
      </c>
      <c r="E49" s="363">
        <v>98.74</v>
      </c>
      <c r="F49" s="363">
        <f>916/945*100</f>
        <v>96.931216931216937</v>
      </c>
      <c r="G49" s="363">
        <f>916/945*100</f>
        <v>96.931216931216937</v>
      </c>
      <c r="H49" s="363">
        <v>98.74</v>
      </c>
      <c r="I49" s="23"/>
      <c r="J49" s="380"/>
      <c r="K49" s="39"/>
      <c r="L49" s="40"/>
    </row>
    <row r="50" spans="1:13" x14ac:dyDescent="0.2">
      <c r="A50" s="77" t="s">
        <v>114</v>
      </c>
      <c r="B50" s="78" t="s">
        <v>115</v>
      </c>
      <c r="C50" s="85"/>
      <c r="D50" s="42"/>
      <c r="E50" s="30"/>
      <c r="F50" s="42"/>
      <c r="G50" s="120"/>
      <c r="H50" s="118"/>
      <c r="I50" s="23"/>
      <c r="J50" s="380"/>
      <c r="K50" s="39"/>
      <c r="L50" s="40"/>
    </row>
    <row r="51" spans="1:13" x14ac:dyDescent="0.2">
      <c r="A51" s="79">
        <v>1</v>
      </c>
      <c r="B51" s="65" t="s">
        <v>116</v>
      </c>
      <c r="C51" s="79" t="s">
        <v>117</v>
      </c>
      <c r="D51" s="42">
        <v>81</v>
      </c>
      <c r="E51" s="30">
        <v>90</v>
      </c>
      <c r="F51" s="108">
        <v>87</v>
      </c>
      <c r="G51" s="374">
        <v>86</v>
      </c>
      <c r="H51" s="120">
        <v>89</v>
      </c>
      <c r="I51" s="23"/>
      <c r="J51" s="380"/>
      <c r="K51" s="39"/>
      <c r="L51" s="40"/>
    </row>
    <row r="52" spans="1:13" ht="22.5" x14ac:dyDescent="0.2">
      <c r="A52" s="79"/>
      <c r="B52" s="82" t="s">
        <v>118</v>
      </c>
      <c r="C52" s="79" t="s">
        <v>117</v>
      </c>
      <c r="D52" s="42">
        <v>6</v>
      </c>
      <c r="E52" s="30">
        <v>3</v>
      </c>
      <c r="F52" s="374"/>
      <c r="G52" s="374"/>
      <c r="H52" s="120">
        <v>3</v>
      </c>
      <c r="I52" s="23"/>
      <c r="J52" s="380"/>
      <c r="K52" s="39"/>
      <c r="L52" s="40"/>
    </row>
    <row r="53" spans="1:13" x14ac:dyDescent="0.2">
      <c r="A53" s="86"/>
      <c r="B53" s="82" t="s">
        <v>119</v>
      </c>
      <c r="C53" s="80" t="s">
        <v>77</v>
      </c>
      <c r="D53" s="42">
        <v>75</v>
      </c>
      <c r="E53" s="118">
        <f>90/108*100</f>
        <v>83.333333333333343</v>
      </c>
      <c r="F53" s="129">
        <f t="shared" ref="F53" si="1">F51/108*100</f>
        <v>80.555555555555557</v>
      </c>
      <c r="G53" s="129">
        <v>81.132075471698116</v>
      </c>
      <c r="H53" s="118">
        <f>89/106*100</f>
        <v>83.962264150943398</v>
      </c>
      <c r="I53" s="23"/>
      <c r="J53" s="380"/>
      <c r="K53" s="39"/>
      <c r="L53" s="40"/>
      <c r="M53" s="146"/>
    </row>
    <row r="54" spans="1:13" ht="22.5" x14ac:dyDescent="0.2">
      <c r="A54" s="79">
        <v>2</v>
      </c>
      <c r="B54" s="65" t="s">
        <v>120</v>
      </c>
      <c r="C54" s="79" t="s">
        <v>121</v>
      </c>
      <c r="D54" s="42">
        <v>28.01</v>
      </c>
      <c r="E54" s="30">
        <v>29.99</v>
      </c>
      <c r="F54" s="143">
        <f>((13+22+25+33+19+13+29+31)/(861+800+700+745+656+674+685+769))*1000</f>
        <v>31.409168081494055</v>
      </c>
      <c r="G54" s="143">
        <f>((13+22+25+33+19+13+29+31)/(861+800+700+745+656+674+685+769))*1000</f>
        <v>31.409168081494055</v>
      </c>
      <c r="H54" s="118">
        <v>29.99</v>
      </c>
      <c r="I54" s="23"/>
      <c r="J54" s="380"/>
      <c r="K54" s="39"/>
      <c r="L54" s="40"/>
    </row>
    <row r="55" spans="1:13" ht="22.5" x14ac:dyDescent="0.2">
      <c r="A55" s="79">
        <v>3</v>
      </c>
      <c r="B55" s="65" t="s">
        <v>122</v>
      </c>
      <c r="C55" s="79" t="s">
        <v>121</v>
      </c>
      <c r="D55" s="390">
        <v>37.96</v>
      </c>
      <c r="E55" s="391">
        <v>43.14</v>
      </c>
      <c r="F55" s="143">
        <f>((16+27+32+41+27+14+38+37)/(861+800+700+745+656+674+685+769))*1000</f>
        <v>39.388794567062817</v>
      </c>
      <c r="G55" s="143">
        <f>((16+27+32+41+27+14+38+37)/(861+800+700+745+656+674+685+769))*1000</f>
        <v>39.388794567062817</v>
      </c>
      <c r="H55" s="118">
        <v>43.14</v>
      </c>
      <c r="I55" s="23"/>
      <c r="J55" s="380"/>
      <c r="K55" s="39"/>
      <c r="L55" s="40"/>
    </row>
    <row r="56" spans="1:13" ht="22.5" x14ac:dyDescent="0.2">
      <c r="A56" s="79">
        <v>4</v>
      </c>
      <c r="B56" s="65" t="s">
        <v>123</v>
      </c>
      <c r="C56" s="79" t="s">
        <v>124</v>
      </c>
      <c r="D56" s="390">
        <v>20.350000000000001</v>
      </c>
      <c r="E56" s="391">
        <v>19.989999999999998</v>
      </c>
      <c r="F56" s="391">
        <v>19.97</v>
      </c>
      <c r="G56" s="356">
        <v>19.97</v>
      </c>
      <c r="H56" s="118">
        <v>19.989999999999998</v>
      </c>
      <c r="I56" s="23"/>
      <c r="J56" s="380"/>
      <c r="K56" s="39"/>
      <c r="L56" s="40"/>
    </row>
    <row r="57" spans="1:13" ht="22.5" x14ac:dyDescent="0.2">
      <c r="A57" s="79">
        <v>5</v>
      </c>
      <c r="B57" s="65" t="s">
        <v>125</v>
      </c>
      <c r="C57" s="79" t="s">
        <v>126</v>
      </c>
      <c r="D57" s="390">
        <v>28.44</v>
      </c>
      <c r="E57" s="391">
        <v>75</v>
      </c>
      <c r="F57" s="360">
        <f>3/(4436+685+769)*100000</f>
        <v>50.933786078098471</v>
      </c>
      <c r="G57" s="360">
        <f>3/(4436+685+769)*100000</f>
        <v>50.933786078098471</v>
      </c>
      <c r="H57" s="118">
        <v>75</v>
      </c>
      <c r="I57" s="23"/>
      <c r="J57" s="380"/>
      <c r="K57" s="39"/>
      <c r="L57" s="40"/>
    </row>
    <row r="58" spans="1:13" ht="22.5" x14ac:dyDescent="0.2">
      <c r="A58" s="79">
        <v>6</v>
      </c>
      <c r="B58" s="65" t="s">
        <v>127</v>
      </c>
      <c r="C58" s="79" t="s">
        <v>77</v>
      </c>
      <c r="D58" s="390">
        <v>61.39</v>
      </c>
      <c r="E58" s="391">
        <v>94.2</v>
      </c>
      <c r="F58" s="362">
        <f>(702+822+826+0+1568+784+778+559)/9982*100</f>
        <v>60.498898016429571</v>
      </c>
      <c r="G58" s="389">
        <f>(702+822+826+0+1568+784+778+559+728)/9982*100</f>
        <v>67.792025646163097</v>
      </c>
      <c r="H58" s="118">
        <v>94.2</v>
      </c>
      <c r="I58" s="23"/>
      <c r="J58" s="380"/>
      <c r="K58" s="39"/>
      <c r="L58" s="40"/>
    </row>
    <row r="59" spans="1:13" x14ac:dyDescent="0.2">
      <c r="A59" s="79">
        <v>7</v>
      </c>
      <c r="B59" s="65" t="s">
        <v>128</v>
      </c>
      <c r="C59" s="79" t="s">
        <v>77</v>
      </c>
      <c r="D59" s="390">
        <v>65.53</v>
      </c>
      <c r="E59" s="391">
        <v>62.8</v>
      </c>
      <c r="F59" s="371">
        <f>((655+603+550+550+673+485+491+487)/(868+800+700+759+734+684+662+657))*100</f>
        <v>76.637107776261942</v>
      </c>
      <c r="G59" s="371">
        <f>((655+603+550+550+673+485+491+487+440)/(868+800+700+759+734+684+662+657+620))*100</f>
        <v>76.095003084515739</v>
      </c>
      <c r="H59" s="118">
        <v>62.8</v>
      </c>
      <c r="I59" s="23"/>
      <c r="J59" s="380"/>
      <c r="K59" s="39"/>
      <c r="L59" s="40"/>
    </row>
    <row r="60" spans="1:13" x14ac:dyDescent="0.2">
      <c r="A60" s="79">
        <v>8</v>
      </c>
      <c r="B60" s="65" t="s">
        <v>129</v>
      </c>
      <c r="C60" s="79" t="s">
        <v>77</v>
      </c>
      <c r="D60" s="390">
        <v>78.69</v>
      </c>
      <c r="E60" s="391">
        <v>68.5</v>
      </c>
      <c r="F60" s="371">
        <f>((731+562+584+650+592+630+520+516)/(868+800+700+759+734+684+622+657))*100</f>
        <v>82.160027472527474</v>
      </c>
      <c r="G60" s="371">
        <f>((731+562+584+650+592+630+520+516+492)/(868+800+700+759+734+684+622+657+620))*100</f>
        <v>81.890130353817497</v>
      </c>
      <c r="H60" s="118">
        <v>68.5</v>
      </c>
      <c r="I60" s="23"/>
      <c r="J60" s="380"/>
      <c r="K60" s="39"/>
      <c r="L60" s="40"/>
    </row>
    <row r="61" spans="1:13" x14ac:dyDescent="0.2">
      <c r="A61" s="79">
        <v>9</v>
      </c>
      <c r="B61" s="65" t="s">
        <v>130</v>
      </c>
      <c r="C61" s="79"/>
      <c r="D61" s="390"/>
      <c r="E61" s="391"/>
      <c r="F61" s="356"/>
      <c r="G61" s="356"/>
      <c r="H61" s="118"/>
      <c r="I61" s="23"/>
      <c r="J61" s="380"/>
      <c r="K61" s="39"/>
      <c r="L61" s="40"/>
    </row>
    <row r="62" spans="1:13" x14ac:dyDescent="0.2">
      <c r="A62" s="87"/>
      <c r="B62" s="88" t="s">
        <v>131</v>
      </c>
      <c r="C62" s="87" t="s">
        <v>79</v>
      </c>
      <c r="D62" s="392">
        <v>0.15</v>
      </c>
      <c r="E62" s="391">
        <v>2</v>
      </c>
      <c r="F62" s="393">
        <f>50/F11*1000</f>
        <v>0.10658662721540305</v>
      </c>
      <c r="G62" s="393">
        <f>53/G11*1000</f>
        <v>0.11298182484832724</v>
      </c>
      <c r="H62" s="118">
        <v>2</v>
      </c>
      <c r="I62" s="23"/>
      <c r="J62" s="380"/>
      <c r="K62" s="39"/>
      <c r="L62" s="40"/>
    </row>
    <row r="63" spans="1:13" x14ac:dyDescent="0.2">
      <c r="A63" s="80"/>
      <c r="B63" s="105" t="s">
        <v>132</v>
      </c>
      <c r="C63" s="80" t="s">
        <v>133</v>
      </c>
      <c r="D63" s="392">
        <v>29.19</v>
      </c>
      <c r="E63" s="391">
        <v>45.2</v>
      </c>
      <c r="F63" s="394">
        <f>74/F11*100000</f>
        <v>15.774820827879651</v>
      </c>
      <c r="G63" s="394">
        <f>82/G11*100000</f>
        <v>17.480206863326099</v>
      </c>
      <c r="H63" s="118">
        <v>45.2</v>
      </c>
      <c r="I63" s="23"/>
      <c r="J63" s="380"/>
      <c r="K63" s="39"/>
      <c r="L63" s="40"/>
    </row>
    <row r="64" spans="1:13" x14ac:dyDescent="0.2">
      <c r="A64" s="80"/>
      <c r="B64" s="82" t="s">
        <v>134</v>
      </c>
      <c r="C64" s="80" t="s">
        <v>77</v>
      </c>
      <c r="D64" s="392">
        <v>0.37892133869688238</v>
      </c>
      <c r="E64" s="391">
        <v>0.4</v>
      </c>
      <c r="F64" s="394">
        <f>1812/F11*100</f>
        <v>0.38626993702862067</v>
      </c>
      <c r="G64" s="394">
        <f>1816/G11*100</f>
        <v>0.38712263004634384</v>
      </c>
      <c r="H64" s="118">
        <v>0.4</v>
      </c>
      <c r="I64" s="23"/>
      <c r="J64" s="380"/>
      <c r="K64" s="39"/>
      <c r="L64" s="40"/>
    </row>
    <row r="65" spans="1:12" x14ac:dyDescent="0.2">
      <c r="A65" s="79">
        <v>10</v>
      </c>
      <c r="B65" s="65" t="s">
        <v>135</v>
      </c>
      <c r="C65" s="66" t="s">
        <v>77</v>
      </c>
      <c r="D65" s="390">
        <v>93.86</v>
      </c>
      <c r="E65" s="391">
        <v>96.8</v>
      </c>
      <c r="F65" s="356"/>
      <c r="G65" s="356"/>
      <c r="H65" s="118">
        <v>96.8</v>
      </c>
      <c r="I65" s="23"/>
      <c r="J65" s="380"/>
      <c r="K65" s="39"/>
      <c r="L65" s="40"/>
    </row>
    <row r="66" spans="1:12" x14ac:dyDescent="0.2">
      <c r="A66" s="77" t="s">
        <v>136</v>
      </c>
      <c r="B66" s="78" t="s">
        <v>137</v>
      </c>
      <c r="C66" s="77"/>
      <c r="D66" s="42"/>
      <c r="E66" s="30"/>
      <c r="F66" s="30"/>
      <c r="G66" s="120"/>
      <c r="H66" s="118"/>
      <c r="I66" s="23"/>
      <c r="J66" s="380"/>
      <c r="K66" s="39"/>
      <c r="L66" s="40"/>
    </row>
    <row r="67" spans="1:12" x14ac:dyDescent="0.2">
      <c r="A67" s="77">
        <v>1</v>
      </c>
      <c r="B67" s="78" t="s">
        <v>138</v>
      </c>
      <c r="C67" s="77"/>
      <c r="D67" s="42"/>
      <c r="E67" s="30"/>
      <c r="F67" s="30"/>
      <c r="G67" s="120"/>
      <c r="H67" s="118"/>
      <c r="I67" s="23"/>
      <c r="J67" s="380"/>
      <c r="K67" s="39"/>
      <c r="L67" s="40"/>
    </row>
    <row r="68" spans="1:12" x14ac:dyDescent="0.2">
      <c r="A68" s="79"/>
      <c r="B68" s="65" t="s">
        <v>139</v>
      </c>
      <c r="C68" s="79" t="s">
        <v>76</v>
      </c>
      <c r="D68" s="42">
        <v>56</v>
      </c>
      <c r="E68" s="30">
        <v>50</v>
      </c>
      <c r="F68" s="30">
        <v>56</v>
      </c>
      <c r="G68" s="120">
        <v>56</v>
      </c>
      <c r="H68" s="120">
        <v>56</v>
      </c>
      <c r="I68" s="23"/>
      <c r="J68" s="380"/>
      <c r="K68" s="39"/>
      <c r="L68" s="40"/>
    </row>
    <row r="69" spans="1:12" x14ac:dyDescent="0.2">
      <c r="A69" s="79"/>
      <c r="B69" s="65" t="s">
        <v>140</v>
      </c>
      <c r="C69" s="79" t="s">
        <v>76</v>
      </c>
      <c r="D69" s="42">
        <v>120</v>
      </c>
      <c r="E69" s="30">
        <v>171</v>
      </c>
      <c r="F69" s="30">
        <v>120</v>
      </c>
      <c r="G69" s="120">
        <v>120</v>
      </c>
      <c r="H69" s="120">
        <v>171</v>
      </c>
      <c r="I69" s="23"/>
      <c r="J69" s="380"/>
      <c r="K69" s="39"/>
      <c r="L69" s="40"/>
    </row>
    <row r="70" spans="1:12" x14ac:dyDescent="0.2">
      <c r="A70" s="79"/>
      <c r="B70" s="65" t="s">
        <v>141</v>
      </c>
      <c r="C70" s="79" t="s">
        <v>76</v>
      </c>
      <c r="D70" s="42">
        <v>82</v>
      </c>
      <c r="E70" s="30">
        <v>82</v>
      </c>
      <c r="F70" s="30"/>
      <c r="G70" s="120"/>
      <c r="H70" s="120"/>
      <c r="I70" s="23"/>
      <c r="J70" s="380"/>
      <c r="K70" s="39"/>
      <c r="L70" s="40"/>
    </row>
    <row r="71" spans="1:12" x14ac:dyDescent="0.2">
      <c r="A71" s="79"/>
      <c r="B71" s="65" t="s">
        <v>142</v>
      </c>
      <c r="C71" s="79" t="s">
        <v>76</v>
      </c>
      <c r="D71" s="42">
        <v>12</v>
      </c>
      <c r="E71" s="30">
        <v>12</v>
      </c>
      <c r="F71" s="30">
        <v>12</v>
      </c>
      <c r="G71" s="120">
        <v>12</v>
      </c>
      <c r="H71" s="120">
        <v>12</v>
      </c>
      <c r="I71" s="23"/>
      <c r="J71" s="380"/>
      <c r="K71" s="39"/>
      <c r="L71" s="40"/>
    </row>
    <row r="72" spans="1:12" x14ac:dyDescent="0.2">
      <c r="A72" s="77">
        <v>2</v>
      </c>
      <c r="B72" s="78" t="s">
        <v>143</v>
      </c>
      <c r="C72" s="77"/>
      <c r="D72" s="42"/>
      <c r="E72" s="30"/>
      <c r="F72" s="30"/>
      <c r="G72" s="120"/>
      <c r="H72" s="120"/>
      <c r="I72" s="23"/>
      <c r="J72" s="380"/>
      <c r="K72" s="39"/>
      <c r="L72" s="40"/>
    </row>
    <row r="73" spans="1:12" x14ac:dyDescent="0.2">
      <c r="A73" s="79"/>
      <c r="B73" s="65" t="s">
        <v>139</v>
      </c>
      <c r="C73" s="79" t="s">
        <v>76</v>
      </c>
      <c r="D73" s="42">
        <v>10</v>
      </c>
      <c r="E73" s="30">
        <v>20</v>
      </c>
      <c r="F73" s="30"/>
      <c r="G73" s="120"/>
      <c r="H73" s="120">
        <v>20</v>
      </c>
      <c r="I73" s="23"/>
      <c r="J73" s="380"/>
      <c r="K73" s="39"/>
      <c r="L73" s="40"/>
    </row>
    <row r="74" spans="1:12" x14ac:dyDescent="0.2">
      <c r="A74" s="79"/>
      <c r="B74" s="65" t="s">
        <v>140</v>
      </c>
      <c r="C74" s="79" t="s">
        <v>76</v>
      </c>
      <c r="D74" s="42">
        <v>80</v>
      </c>
      <c r="E74" s="30">
        <v>15</v>
      </c>
      <c r="F74" s="30">
        <v>60</v>
      </c>
      <c r="G74" s="120">
        <v>60</v>
      </c>
      <c r="H74" s="120">
        <v>60</v>
      </c>
      <c r="I74" s="23"/>
      <c r="J74" s="380"/>
      <c r="K74" s="39"/>
      <c r="L74" s="40"/>
    </row>
    <row r="75" spans="1:12" ht="33.75" x14ac:dyDescent="0.2">
      <c r="A75" s="79"/>
      <c r="B75" s="65" t="s">
        <v>144</v>
      </c>
      <c r="C75" s="79" t="s">
        <v>76</v>
      </c>
      <c r="D75" s="42">
        <v>118</v>
      </c>
      <c r="E75" s="30">
        <v>0</v>
      </c>
      <c r="F75" s="30"/>
      <c r="G75" s="120"/>
      <c r="H75" s="120">
        <v>0</v>
      </c>
      <c r="I75" s="23"/>
      <c r="J75" s="380"/>
      <c r="K75" s="39"/>
      <c r="L75" s="40"/>
    </row>
    <row r="76" spans="1:12" ht="22.5" x14ac:dyDescent="0.2">
      <c r="A76" s="51"/>
      <c r="B76" s="91" t="s">
        <v>145</v>
      </c>
      <c r="C76" s="92" t="s">
        <v>146</v>
      </c>
      <c r="D76" s="123">
        <v>2062</v>
      </c>
      <c r="E76" s="120">
        <v>2200</v>
      </c>
      <c r="F76" s="120">
        <v>2283</v>
      </c>
      <c r="G76" s="120">
        <v>2324</v>
      </c>
      <c r="H76" s="120">
        <v>2200</v>
      </c>
      <c r="I76" s="23"/>
      <c r="J76" s="380"/>
      <c r="K76" s="39"/>
      <c r="L76" s="40"/>
    </row>
    <row r="77" spans="1:12" ht="15.75" x14ac:dyDescent="0.25">
      <c r="A77" s="643" t="s">
        <v>33</v>
      </c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3"/>
    </row>
  </sheetData>
  <mergeCells count="13">
    <mergeCell ref="L5:L6"/>
    <mergeCell ref="B9:L9"/>
    <mergeCell ref="A77:L77"/>
    <mergeCell ref="A1:B1"/>
    <mergeCell ref="A2:L2"/>
    <mergeCell ref="A3:L3"/>
    <mergeCell ref="A5:A6"/>
    <mergeCell ref="B5:B6"/>
    <mergeCell ref="C5:C6"/>
    <mergeCell ref="D5:D6"/>
    <mergeCell ref="E5:H5"/>
    <mergeCell ref="I5:J5"/>
    <mergeCell ref="K5:K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B1"/>
    </sheetView>
  </sheetViews>
  <sheetFormatPr defaultRowHeight="12.75" x14ac:dyDescent="0.2"/>
  <cols>
    <col min="1" max="1" width="4.5" style="7" customWidth="1"/>
    <col min="2" max="2" width="25.75" style="7" customWidth="1"/>
    <col min="3" max="3" width="9" style="7"/>
    <col min="4" max="4" width="9" style="48"/>
    <col min="5" max="8" width="9" style="49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 x14ac:dyDescent="0.25">
      <c r="A1" s="633" t="s">
        <v>34</v>
      </c>
      <c r="B1" s="633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x14ac:dyDescent="0.25">
      <c r="A2" s="637" t="s">
        <v>14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4" ht="15.75" x14ac:dyDescent="0.25">
      <c r="A3" s="645" t="e">
        <f>#REF!</f>
        <v>#REF!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4" x14ac:dyDescent="0.2">
      <c r="A4" s="646" t="s">
        <v>9</v>
      </c>
      <c r="B4" s="647" t="s">
        <v>10</v>
      </c>
      <c r="C4" s="647" t="s">
        <v>11</v>
      </c>
      <c r="D4" s="648" t="s">
        <v>25</v>
      </c>
      <c r="E4" s="648" t="s">
        <v>29</v>
      </c>
      <c r="F4" s="648"/>
      <c r="G4" s="648"/>
      <c r="H4" s="638" t="s">
        <v>28</v>
      </c>
      <c r="I4" s="648" t="s">
        <v>0</v>
      </c>
      <c r="J4" s="648"/>
      <c r="K4" s="649" t="s">
        <v>1</v>
      </c>
      <c r="L4" s="644" t="s">
        <v>2</v>
      </c>
    </row>
    <row r="5" spans="1:14" ht="38.25" x14ac:dyDescent="0.2">
      <c r="A5" s="646"/>
      <c r="B5" s="647"/>
      <c r="C5" s="647"/>
      <c r="D5" s="648"/>
      <c r="E5" s="8" t="s">
        <v>3</v>
      </c>
      <c r="F5" s="8" t="s">
        <v>26</v>
      </c>
      <c r="G5" s="8" t="s">
        <v>4</v>
      </c>
      <c r="H5" s="639"/>
      <c r="I5" s="8" t="s">
        <v>30</v>
      </c>
      <c r="J5" s="8" t="s">
        <v>31</v>
      </c>
      <c r="K5" s="649"/>
      <c r="L5" s="644"/>
    </row>
    <row r="6" spans="1:14" x14ac:dyDescent="0.2">
      <c r="A6" s="9" t="s">
        <v>5</v>
      </c>
      <c r="B6" s="9" t="s">
        <v>6</v>
      </c>
      <c r="C6" s="9" t="s">
        <v>7</v>
      </c>
      <c r="D6" s="10">
        <v>1</v>
      </c>
      <c r="E6" s="10">
        <v>2</v>
      </c>
      <c r="F6" s="10">
        <v>4</v>
      </c>
      <c r="G6" s="10">
        <v>6</v>
      </c>
      <c r="H6" s="10"/>
      <c r="I6" s="11">
        <v>7</v>
      </c>
      <c r="J6" s="11">
        <v>8</v>
      </c>
      <c r="K6" s="9">
        <v>9</v>
      </c>
      <c r="L6" s="9">
        <v>10</v>
      </c>
    </row>
    <row r="7" spans="1:14" ht="13.5" x14ac:dyDescent="0.25">
      <c r="A7" s="12"/>
      <c r="B7" s="12"/>
      <c r="C7" s="12"/>
      <c r="D7" s="13"/>
      <c r="E7" s="13"/>
      <c r="F7" s="14"/>
      <c r="G7" s="14"/>
      <c r="H7" s="14"/>
      <c r="I7" s="15"/>
      <c r="J7" s="15"/>
      <c r="K7" s="16"/>
      <c r="L7" s="12"/>
      <c r="N7" s="17"/>
    </row>
    <row r="8" spans="1:14" x14ac:dyDescent="0.2">
      <c r="A8" s="18" t="s">
        <v>12</v>
      </c>
      <c r="B8" s="640" t="s">
        <v>16</v>
      </c>
      <c r="C8" s="641"/>
      <c r="D8" s="641"/>
      <c r="E8" s="641"/>
      <c r="F8" s="641"/>
      <c r="G8" s="641"/>
      <c r="H8" s="641"/>
      <c r="I8" s="641"/>
      <c r="J8" s="641"/>
      <c r="K8" s="641"/>
      <c r="L8" s="642"/>
    </row>
    <row r="9" spans="1:14" x14ac:dyDescent="0.2">
      <c r="A9" s="19">
        <v>1</v>
      </c>
      <c r="B9" s="20"/>
      <c r="C9" s="19"/>
      <c r="D9" s="21"/>
      <c r="E9" s="22"/>
      <c r="F9" s="21"/>
      <c r="G9" s="21"/>
      <c r="H9" s="21"/>
      <c r="I9" s="23"/>
      <c r="J9" s="24"/>
      <c r="K9" s="25"/>
      <c r="L9" s="26"/>
    </row>
    <row r="10" spans="1:14" x14ac:dyDescent="0.2">
      <c r="A10" s="27">
        <v>2</v>
      </c>
      <c r="B10" s="28"/>
      <c r="C10" s="27"/>
      <c r="D10" s="29"/>
      <c r="E10" s="30"/>
      <c r="F10" s="29"/>
      <c r="G10" s="29"/>
      <c r="H10" s="29"/>
      <c r="I10" s="23"/>
      <c r="J10" s="24"/>
      <c r="K10" s="31"/>
      <c r="L10" s="32"/>
    </row>
    <row r="11" spans="1:14" x14ac:dyDescent="0.2">
      <c r="A11" s="27" t="s">
        <v>17</v>
      </c>
      <c r="B11" s="28"/>
      <c r="C11" s="27"/>
      <c r="D11" s="29"/>
      <c r="E11" s="30"/>
      <c r="F11" s="29"/>
      <c r="G11" s="29"/>
      <c r="H11" s="29"/>
      <c r="I11" s="23"/>
      <c r="J11" s="24"/>
      <c r="K11" s="31"/>
      <c r="L11" s="32"/>
    </row>
    <row r="12" spans="1:14" x14ac:dyDescent="0.2">
      <c r="A12" s="27"/>
      <c r="B12" s="28"/>
      <c r="C12" s="27"/>
      <c r="D12" s="29"/>
      <c r="E12" s="30"/>
      <c r="F12" s="29"/>
      <c r="G12" s="29"/>
      <c r="H12" s="29"/>
      <c r="I12" s="23"/>
      <c r="J12" s="24"/>
      <c r="K12" s="31"/>
      <c r="L12" s="32"/>
    </row>
    <row r="13" spans="1:14" x14ac:dyDescent="0.2">
      <c r="A13" s="27"/>
      <c r="B13" s="28"/>
      <c r="C13" s="27"/>
      <c r="D13" s="29"/>
      <c r="E13" s="30"/>
      <c r="F13" s="29"/>
      <c r="G13" s="29"/>
      <c r="H13" s="29"/>
      <c r="I13" s="23"/>
      <c r="J13" s="24"/>
      <c r="K13" s="33"/>
      <c r="L13" s="34"/>
    </row>
    <row r="14" spans="1:14" x14ac:dyDescent="0.2">
      <c r="A14" s="27"/>
      <c r="B14" s="28"/>
      <c r="C14" s="27"/>
      <c r="D14" s="29"/>
      <c r="E14" s="30"/>
      <c r="F14" s="29"/>
      <c r="G14" s="29"/>
      <c r="H14" s="29"/>
      <c r="I14" s="23"/>
      <c r="J14" s="24"/>
      <c r="K14" s="33"/>
      <c r="L14" s="34"/>
    </row>
    <row r="15" spans="1:14" x14ac:dyDescent="0.2">
      <c r="A15" s="27"/>
      <c r="B15" s="28"/>
      <c r="C15" s="27"/>
      <c r="D15" s="29"/>
      <c r="E15" s="30"/>
      <c r="F15" s="29"/>
      <c r="G15" s="29"/>
      <c r="H15" s="29"/>
      <c r="I15" s="23"/>
      <c r="J15" s="24"/>
      <c r="K15" s="35"/>
      <c r="L15" s="36"/>
    </row>
    <row r="16" spans="1:14" x14ac:dyDescent="0.2">
      <c r="A16" s="27"/>
      <c r="B16" s="28"/>
      <c r="C16" s="27"/>
      <c r="D16" s="29"/>
      <c r="E16" s="30"/>
      <c r="F16" s="29"/>
      <c r="G16" s="29"/>
      <c r="H16" s="29"/>
      <c r="I16" s="23"/>
      <c r="J16" s="24"/>
      <c r="K16" s="31"/>
      <c r="L16" s="32"/>
    </row>
    <row r="17" spans="1:12" x14ac:dyDescent="0.2">
      <c r="A17" s="56" t="s">
        <v>13</v>
      </c>
      <c r="B17" s="57" t="s">
        <v>18</v>
      </c>
      <c r="C17" s="27"/>
      <c r="D17" s="30"/>
      <c r="E17" s="30"/>
      <c r="F17" s="30"/>
      <c r="G17" s="30"/>
      <c r="H17" s="30"/>
      <c r="I17" s="23"/>
      <c r="J17" s="24"/>
      <c r="K17" s="35"/>
      <c r="L17" s="36"/>
    </row>
    <row r="18" spans="1:12" x14ac:dyDescent="0.2">
      <c r="A18" s="27">
        <v>1</v>
      </c>
      <c r="B18" s="28"/>
      <c r="C18" s="27"/>
      <c r="D18" s="37"/>
      <c r="E18" s="37"/>
      <c r="F18" s="37"/>
      <c r="G18" s="37"/>
      <c r="H18" s="37"/>
      <c r="I18" s="23"/>
      <c r="J18" s="24"/>
      <c r="K18" s="38"/>
      <c r="L18" s="27"/>
    </row>
    <row r="19" spans="1:12" x14ac:dyDescent="0.2">
      <c r="A19" s="27">
        <v>2</v>
      </c>
      <c r="B19" s="28"/>
      <c r="C19" s="27"/>
      <c r="D19" s="30"/>
      <c r="E19" s="30"/>
      <c r="F19" s="30"/>
      <c r="G19" s="30"/>
      <c r="H19" s="30"/>
      <c r="I19" s="23"/>
      <c r="J19" s="24"/>
      <c r="K19" s="35"/>
      <c r="L19" s="36"/>
    </row>
    <row r="20" spans="1:12" x14ac:dyDescent="0.2">
      <c r="A20" s="27" t="s">
        <v>19</v>
      </c>
      <c r="B20" s="28"/>
      <c r="C20" s="27"/>
      <c r="D20" s="30"/>
      <c r="E20" s="30"/>
      <c r="F20" s="30"/>
      <c r="G20" s="30"/>
      <c r="H20" s="30"/>
      <c r="I20" s="23"/>
      <c r="J20" s="24"/>
      <c r="K20" s="39"/>
      <c r="L20" s="27"/>
    </row>
    <row r="21" spans="1:12" x14ac:dyDescent="0.2">
      <c r="A21" s="40"/>
      <c r="B21" s="41"/>
      <c r="C21" s="40"/>
      <c r="D21" s="42"/>
      <c r="E21" s="42"/>
      <c r="F21" s="42"/>
      <c r="G21" s="42"/>
      <c r="H21" s="42"/>
      <c r="I21" s="23"/>
      <c r="J21" s="24"/>
      <c r="K21" s="39"/>
      <c r="L21" s="40"/>
    </row>
    <row r="22" spans="1:12" x14ac:dyDescent="0.2">
      <c r="A22" s="40"/>
      <c r="B22" s="41"/>
      <c r="C22" s="40"/>
      <c r="D22" s="42"/>
      <c r="E22" s="42"/>
      <c r="F22" s="42"/>
      <c r="G22" s="42"/>
      <c r="H22" s="42"/>
      <c r="I22" s="23"/>
      <c r="J22" s="24"/>
      <c r="K22" s="39"/>
      <c r="L22" s="40"/>
    </row>
    <row r="23" spans="1:12" x14ac:dyDescent="0.2">
      <c r="A23" s="40"/>
      <c r="B23" s="41"/>
      <c r="C23" s="40"/>
      <c r="D23" s="42"/>
      <c r="E23" s="42"/>
      <c r="F23" s="42"/>
      <c r="G23" s="42"/>
      <c r="H23" s="42"/>
      <c r="I23" s="23"/>
      <c r="J23" s="24"/>
      <c r="K23" s="39"/>
      <c r="L23" s="40"/>
    </row>
    <row r="24" spans="1:12" x14ac:dyDescent="0.2">
      <c r="A24" s="27"/>
      <c r="B24" s="28"/>
      <c r="C24" s="27"/>
      <c r="D24" s="43"/>
      <c r="E24" s="43"/>
      <c r="F24" s="43"/>
      <c r="G24" s="43"/>
      <c r="H24" s="43"/>
      <c r="I24" s="23"/>
      <c r="J24" s="24"/>
      <c r="K24" s="39"/>
      <c r="L24" s="27"/>
    </row>
    <row r="25" spans="1:12" x14ac:dyDescent="0.2">
      <c r="A25" s="27"/>
      <c r="B25" s="28"/>
      <c r="C25" s="27"/>
      <c r="D25" s="30"/>
      <c r="E25" s="30"/>
      <c r="F25" s="30"/>
      <c r="G25" s="30"/>
      <c r="H25" s="30"/>
      <c r="I25" s="23"/>
      <c r="J25" s="24"/>
      <c r="K25" s="39"/>
      <c r="L25" s="27"/>
    </row>
    <row r="26" spans="1:12" s="46" customFormat="1" x14ac:dyDescent="0.2">
      <c r="A26" s="40"/>
      <c r="B26" s="41"/>
      <c r="C26" s="40"/>
      <c r="D26" s="44"/>
      <c r="E26" s="44"/>
      <c r="F26" s="44"/>
      <c r="G26" s="44"/>
      <c r="H26" s="44"/>
      <c r="I26" s="23"/>
      <c r="J26" s="24"/>
      <c r="K26" s="45"/>
      <c r="L26" s="40"/>
    </row>
    <row r="27" spans="1:12" s="46" customFormat="1" x14ac:dyDescent="0.2">
      <c r="A27" s="51"/>
      <c r="B27" s="52"/>
      <c r="C27" s="51"/>
      <c r="D27" s="47"/>
      <c r="E27" s="47"/>
      <c r="F27" s="47"/>
      <c r="G27" s="47"/>
      <c r="H27" s="47"/>
      <c r="I27" s="53"/>
      <c r="J27" s="54"/>
      <c r="K27" s="55"/>
      <c r="L27" s="51"/>
    </row>
    <row r="28" spans="1:12" ht="15.75" x14ac:dyDescent="0.25">
      <c r="A28" s="643" t="e">
        <f>#REF!</f>
        <v>#REF!</v>
      </c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</row>
  </sheetData>
  <mergeCells count="14">
    <mergeCell ref="H4:H5"/>
    <mergeCell ref="B8:L8"/>
    <mergeCell ref="A28:L28"/>
    <mergeCell ref="L4:L5"/>
    <mergeCell ref="A1:B1"/>
    <mergeCell ref="A2:L2"/>
    <mergeCell ref="A3:L3"/>
    <mergeCell ref="A4:A5"/>
    <mergeCell ref="B4:B5"/>
    <mergeCell ref="C4:C5"/>
    <mergeCell ref="D4:D5"/>
    <mergeCell ref="E4:G4"/>
    <mergeCell ref="I4:J4"/>
    <mergeCell ref="K4:K5"/>
  </mergeCells>
  <pageMargins left="0.2" right="0.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3" sqref="A3:I3"/>
    </sheetView>
  </sheetViews>
  <sheetFormatPr defaultRowHeight="12.75" x14ac:dyDescent="0.2"/>
  <cols>
    <col min="1" max="1" width="4.5" style="7" customWidth="1"/>
    <col min="2" max="2" width="23.25" style="7" customWidth="1"/>
    <col min="3" max="3" width="9" style="7"/>
    <col min="4" max="4" width="9" style="48"/>
    <col min="5" max="7" width="9" style="49"/>
    <col min="8" max="8" width="12.25" style="1" customWidth="1"/>
    <col min="9" max="9" width="10.5" style="7" customWidth="1"/>
    <col min="10" max="16384" width="9" style="7"/>
  </cols>
  <sheetData>
    <row r="1" spans="1:10" ht="15.75" x14ac:dyDescent="0.25">
      <c r="A1" s="633" t="s">
        <v>35</v>
      </c>
      <c r="B1" s="633"/>
      <c r="C1" s="2"/>
      <c r="D1" s="3"/>
      <c r="E1" s="4"/>
      <c r="F1" s="4"/>
      <c r="G1" s="4"/>
      <c r="H1" s="6"/>
      <c r="I1" s="2"/>
    </row>
    <row r="2" spans="1:10" ht="15.75" x14ac:dyDescent="0.25">
      <c r="A2" s="637" t="s">
        <v>15</v>
      </c>
      <c r="B2" s="637"/>
      <c r="C2" s="637"/>
      <c r="D2" s="637"/>
      <c r="E2" s="637"/>
      <c r="F2" s="637"/>
      <c r="G2" s="637"/>
      <c r="H2" s="637"/>
      <c r="I2" s="637"/>
    </row>
    <row r="3" spans="1:10" ht="15.75" x14ac:dyDescent="0.25">
      <c r="A3" s="645" t="e">
        <f>#REF!</f>
        <v>#REF!</v>
      </c>
      <c r="B3" s="645"/>
      <c r="C3" s="645"/>
      <c r="D3" s="645"/>
      <c r="E3" s="645"/>
      <c r="F3" s="645"/>
      <c r="G3" s="645"/>
      <c r="H3" s="645"/>
      <c r="I3" s="645"/>
    </row>
    <row r="4" spans="1:10" x14ac:dyDescent="0.2">
      <c r="A4" s="646" t="s">
        <v>9</v>
      </c>
      <c r="B4" s="647" t="s">
        <v>10</v>
      </c>
      <c r="C4" s="647" t="s">
        <v>11</v>
      </c>
      <c r="D4" s="648" t="s">
        <v>25</v>
      </c>
      <c r="E4" s="648" t="s">
        <v>27</v>
      </c>
      <c r="F4" s="648"/>
      <c r="G4" s="8"/>
      <c r="H4" s="649" t="s">
        <v>1</v>
      </c>
      <c r="I4" s="644" t="s">
        <v>2</v>
      </c>
    </row>
    <row r="5" spans="1:10" ht="25.5" x14ac:dyDescent="0.2">
      <c r="A5" s="646"/>
      <c r="B5" s="647"/>
      <c r="C5" s="647"/>
      <c r="D5" s="648"/>
      <c r="E5" s="8" t="s">
        <v>3</v>
      </c>
      <c r="F5" s="8" t="s">
        <v>4</v>
      </c>
      <c r="G5" s="8" t="s">
        <v>32</v>
      </c>
      <c r="H5" s="649"/>
      <c r="I5" s="644"/>
    </row>
    <row r="6" spans="1:10" x14ac:dyDescent="0.2">
      <c r="A6" s="9" t="s">
        <v>5</v>
      </c>
      <c r="B6" s="9" t="s">
        <v>6</v>
      </c>
      <c r="C6" s="9" t="s">
        <v>7</v>
      </c>
      <c r="D6" s="10">
        <v>1</v>
      </c>
      <c r="E6" s="10">
        <v>2</v>
      </c>
      <c r="F6" s="10">
        <v>6</v>
      </c>
      <c r="G6" s="10"/>
      <c r="H6" s="9">
        <v>9</v>
      </c>
      <c r="I6" s="9">
        <v>10</v>
      </c>
    </row>
    <row r="7" spans="1:10" x14ac:dyDescent="0.2">
      <c r="A7" s="12"/>
      <c r="B7" s="12"/>
      <c r="C7" s="12"/>
      <c r="D7" s="13"/>
      <c r="E7" s="13"/>
      <c r="F7" s="14"/>
      <c r="G7" s="14"/>
      <c r="H7" s="16"/>
      <c r="I7" s="12"/>
      <c r="J7" s="17"/>
    </row>
    <row r="8" spans="1:10" x14ac:dyDescent="0.2">
      <c r="A8" s="18" t="s">
        <v>12</v>
      </c>
      <c r="B8" s="640" t="s">
        <v>16</v>
      </c>
      <c r="C8" s="641"/>
      <c r="D8" s="641"/>
      <c r="E8" s="641"/>
      <c r="F8" s="641"/>
      <c r="G8" s="641"/>
      <c r="H8" s="641"/>
      <c r="I8" s="642"/>
    </row>
    <row r="9" spans="1:10" x14ac:dyDescent="0.2">
      <c r="A9" s="19">
        <v>1</v>
      </c>
      <c r="B9" s="20"/>
      <c r="C9" s="19"/>
      <c r="D9" s="21"/>
      <c r="E9" s="22"/>
      <c r="F9" s="21"/>
      <c r="G9" s="21"/>
      <c r="H9" s="24"/>
      <c r="I9" s="25"/>
    </row>
    <row r="10" spans="1:10" x14ac:dyDescent="0.2">
      <c r="A10" s="27">
        <v>2</v>
      </c>
      <c r="B10" s="28"/>
      <c r="C10" s="27"/>
      <c r="D10" s="29"/>
      <c r="E10" s="30"/>
      <c r="F10" s="29"/>
      <c r="G10" s="29"/>
      <c r="H10" s="24"/>
      <c r="I10" s="31"/>
    </row>
    <row r="11" spans="1:10" x14ac:dyDescent="0.2">
      <c r="A11" s="27" t="s">
        <v>17</v>
      </c>
      <c r="B11" s="28"/>
      <c r="C11" s="27"/>
      <c r="D11" s="29"/>
      <c r="E11" s="30"/>
      <c r="F11" s="29"/>
      <c r="G11" s="29"/>
      <c r="H11" s="24"/>
      <c r="I11" s="31"/>
    </row>
    <row r="12" spans="1:10" x14ac:dyDescent="0.2">
      <c r="A12" s="27"/>
      <c r="B12" s="28"/>
      <c r="C12" s="27"/>
      <c r="D12" s="29"/>
      <c r="E12" s="30"/>
      <c r="F12" s="29"/>
      <c r="G12" s="29"/>
      <c r="H12" s="24"/>
      <c r="I12" s="31"/>
    </row>
    <row r="13" spans="1:10" x14ac:dyDescent="0.2">
      <c r="A13" s="27"/>
      <c r="B13" s="28"/>
      <c r="C13" s="27"/>
      <c r="D13" s="29"/>
      <c r="E13" s="30"/>
      <c r="F13" s="29"/>
      <c r="G13" s="29"/>
      <c r="H13" s="24"/>
      <c r="I13" s="33"/>
    </row>
    <row r="14" spans="1:10" x14ac:dyDescent="0.2">
      <c r="A14" s="27"/>
      <c r="B14" s="28"/>
      <c r="C14" s="27"/>
      <c r="D14" s="29"/>
      <c r="E14" s="30"/>
      <c r="F14" s="29"/>
      <c r="G14" s="29"/>
      <c r="H14" s="24"/>
      <c r="I14" s="33"/>
    </row>
    <row r="15" spans="1:10" x14ac:dyDescent="0.2">
      <c r="A15" s="27"/>
      <c r="B15" s="28"/>
      <c r="C15" s="27"/>
      <c r="D15" s="29"/>
      <c r="E15" s="30"/>
      <c r="F15" s="29"/>
      <c r="G15" s="29"/>
      <c r="H15" s="24"/>
      <c r="I15" s="35"/>
    </row>
    <row r="16" spans="1:10" x14ac:dyDescent="0.2">
      <c r="A16" s="27"/>
      <c r="B16" s="28"/>
      <c r="C16" s="27"/>
      <c r="D16" s="29"/>
      <c r="E16" s="30"/>
      <c r="F16" s="29"/>
      <c r="G16" s="29"/>
      <c r="H16" s="24"/>
      <c r="I16" s="31"/>
    </row>
    <row r="17" spans="1:9" x14ac:dyDescent="0.2">
      <c r="A17" s="56" t="s">
        <v>13</v>
      </c>
      <c r="B17" s="57" t="s">
        <v>18</v>
      </c>
      <c r="C17" s="27"/>
      <c r="D17" s="30"/>
      <c r="E17" s="30"/>
      <c r="F17" s="30"/>
      <c r="G17" s="30"/>
      <c r="H17" s="24"/>
      <c r="I17" s="35"/>
    </row>
    <row r="18" spans="1:9" x14ac:dyDescent="0.2">
      <c r="A18" s="27">
        <v>1</v>
      </c>
      <c r="B18" s="28"/>
      <c r="C18" s="27"/>
      <c r="D18" s="37"/>
      <c r="E18" s="37"/>
      <c r="F18" s="37"/>
      <c r="G18" s="37"/>
      <c r="H18" s="24"/>
      <c r="I18" s="38"/>
    </row>
    <row r="19" spans="1:9" x14ac:dyDescent="0.2">
      <c r="A19" s="27">
        <v>2</v>
      </c>
      <c r="B19" s="28"/>
      <c r="C19" s="27"/>
      <c r="D19" s="30"/>
      <c r="E19" s="30"/>
      <c r="F19" s="30"/>
      <c r="G19" s="30"/>
      <c r="H19" s="24"/>
      <c r="I19" s="35"/>
    </row>
    <row r="20" spans="1:9" x14ac:dyDescent="0.2">
      <c r="A20" s="27" t="s">
        <v>19</v>
      </c>
      <c r="B20" s="28"/>
      <c r="C20" s="27"/>
      <c r="D20" s="30"/>
      <c r="E20" s="30"/>
      <c r="F20" s="30"/>
      <c r="G20" s="30"/>
      <c r="H20" s="24"/>
      <c r="I20" s="39"/>
    </row>
    <row r="21" spans="1:9" x14ac:dyDescent="0.2">
      <c r="A21" s="40"/>
      <c r="B21" s="41"/>
      <c r="C21" s="40"/>
      <c r="D21" s="42"/>
      <c r="E21" s="42"/>
      <c r="F21" s="42"/>
      <c r="G21" s="42"/>
      <c r="H21" s="24"/>
      <c r="I21" s="39"/>
    </row>
    <row r="22" spans="1:9" x14ac:dyDescent="0.2">
      <c r="A22" s="40"/>
      <c r="B22" s="41"/>
      <c r="C22" s="40"/>
      <c r="D22" s="42"/>
      <c r="E22" s="42"/>
      <c r="F22" s="42"/>
      <c r="G22" s="42"/>
      <c r="H22" s="24"/>
      <c r="I22" s="39"/>
    </row>
    <row r="23" spans="1:9" x14ac:dyDescent="0.2">
      <c r="A23" s="40"/>
      <c r="B23" s="41"/>
      <c r="C23" s="40"/>
      <c r="D23" s="42"/>
      <c r="E23" s="42"/>
      <c r="F23" s="42"/>
      <c r="G23" s="42"/>
      <c r="H23" s="24"/>
      <c r="I23" s="39"/>
    </row>
    <row r="24" spans="1:9" x14ac:dyDescent="0.2">
      <c r="A24" s="27"/>
      <c r="B24" s="28"/>
      <c r="C24" s="27"/>
      <c r="D24" s="43"/>
      <c r="E24" s="43"/>
      <c r="F24" s="43"/>
      <c r="G24" s="43"/>
      <c r="H24" s="24"/>
      <c r="I24" s="39"/>
    </row>
    <row r="25" spans="1:9" x14ac:dyDescent="0.2">
      <c r="A25" s="27"/>
      <c r="B25" s="28"/>
      <c r="C25" s="27"/>
      <c r="D25" s="30"/>
      <c r="E25" s="30"/>
      <c r="F25" s="30"/>
      <c r="G25" s="30"/>
      <c r="H25" s="24"/>
      <c r="I25" s="39"/>
    </row>
    <row r="26" spans="1:9" s="46" customFormat="1" x14ac:dyDescent="0.2">
      <c r="A26" s="40"/>
      <c r="B26" s="41"/>
      <c r="C26" s="40"/>
      <c r="D26" s="44"/>
      <c r="E26" s="44"/>
      <c r="F26" s="44"/>
      <c r="G26" s="44"/>
      <c r="H26" s="24"/>
      <c r="I26" s="45"/>
    </row>
    <row r="27" spans="1:9" s="46" customFormat="1" x14ac:dyDescent="0.2">
      <c r="A27" s="51"/>
      <c r="B27" s="52"/>
      <c r="C27" s="51"/>
      <c r="D27" s="47"/>
      <c r="E27" s="47"/>
      <c r="F27" s="47"/>
      <c r="G27" s="47"/>
      <c r="H27" s="54"/>
      <c r="I27" s="55"/>
    </row>
    <row r="28" spans="1:9" ht="15.75" x14ac:dyDescent="0.25">
      <c r="A28" s="643" t="e">
        <f>#REF!</f>
        <v>#REF!</v>
      </c>
      <c r="B28" s="643"/>
      <c r="C28" s="643"/>
      <c r="D28" s="643"/>
      <c r="E28" s="643"/>
      <c r="F28" s="643"/>
      <c r="G28" s="643"/>
      <c r="H28" s="643"/>
      <c r="I28" s="643"/>
    </row>
  </sheetData>
  <mergeCells count="12">
    <mergeCell ref="A3:I3"/>
    <mergeCell ref="A28:I28"/>
    <mergeCell ref="B8:I8"/>
    <mergeCell ref="A1:B1"/>
    <mergeCell ref="A2:I2"/>
    <mergeCell ref="A4:A5"/>
    <mergeCell ref="B4:B5"/>
    <mergeCell ref="C4:C5"/>
    <mergeCell ref="D4:D5"/>
    <mergeCell ref="E4:F4"/>
    <mergeCell ref="H4:H5"/>
    <mergeCell ref="I4:I5"/>
  </mergeCells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N9" sqref="N9"/>
    </sheetView>
  </sheetViews>
  <sheetFormatPr defaultRowHeight="12.75" x14ac:dyDescent="0.2"/>
  <cols>
    <col min="1" max="1" width="4.5" style="7" customWidth="1"/>
    <col min="2" max="2" width="25.75" style="7" customWidth="1"/>
    <col min="3" max="3" width="9" style="7"/>
    <col min="4" max="4" width="9.625" style="48" bestFit="1" customWidth="1"/>
    <col min="5" max="5" width="9.375" style="49" customWidth="1"/>
    <col min="6" max="6" width="9.75" style="49" bestFit="1" customWidth="1"/>
    <col min="7" max="7" width="10.5" style="49" bestFit="1" customWidth="1"/>
    <col min="8" max="8" width="9.875" style="49" bestFit="1" customWidth="1"/>
    <col min="9" max="9" width="10.75" style="50" customWidth="1"/>
    <col min="10" max="10" width="9" style="50"/>
    <col min="11" max="11" width="12.25" style="1" customWidth="1"/>
    <col min="12" max="12" width="10.5" style="7" customWidth="1"/>
    <col min="13" max="16384" width="9" style="7"/>
  </cols>
  <sheetData>
    <row r="1" spans="1:14" ht="15.75" x14ac:dyDescent="0.25">
      <c r="A1" s="633" t="s">
        <v>8</v>
      </c>
      <c r="B1" s="633"/>
      <c r="C1" s="2"/>
      <c r="D1" s="3"/>
      <c r="E1" s="4"/>
      <c r="F1" s="4"/>
      <c r="G1" s="4"/>
      <c r="H1" s="4"/>
      <c r="I1" s="5"/>
      <c r="J1" s="5"/>
      <c r="K1" s="6"/>
      <c r="L1" s="2"/>
    </row>
    <row r="2" spans="1:14" ht="15.75" customHeight="1" x14ac:dyDescent="0.25">
      <c r="A2" s="637" t="s">
        <v>36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4" ht="15.75" x14ac:dyDescent="0.25">
      <c r="A3" s="645" t="str">
        <f>'Báo cáo tháng'!A3:AM3</f>
        <v>(Kèm theo báo cáo số               /BC-SYT ngày        tháng   năm 2022 của Sở Y tế Lai Châu)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4" ht="12.75" customHeight="1" x14ac:dyDescent="0.2">
      <c r="A4" s="652" t="s">
        <v>9</v>
      </c>
      <c r="B4" s="654" t="s">
        <v>10</v>
      </c>
      <c r="C4" s="654" t="s">
        <v>11</v>
      </c>
      <c r="D4" s="638" t="s">
        <v>20</v>
      </c>
      <c r="E4" s="656" t="s">
        <v>152</v>
      </c>
      <c r="F4" s="657"/>
      <c r="G4" s="657"/>
      <c r="H4" s="658"/>
      <c r="I4" s="656" t="s">
        <v>0</v>
      </c>
      <c r="J4" s="658"/>
      <c r="K4" s="659" t="s">
        <v>1</v>
      </c>
      <c r="L4" s="650" t="s">
        <v>2</v>
      </c>
    </row>
    <row r="5" spans="1:14" ht="63.75" x14ac:dyDescent="0.2">
      <c r="A5" s="653"/>
      <c r="B5" s="655"/>
      <c r="C5" s="655"/>
      <c r="D5" s="639"/>
      <c r="E5" s="117" t="s">
        <v>3</v>
      </c>
      <c r="F5" s="117" t="s">
        <v>21</v>
      </c>
      <c r="G5" s="117" t="s">
        <v>22</v>
      </c>
      <c r="H5" s="117" t="s">
        <v>4</v>
      </c>
      <c r="I5" s="117" t="s">
        <v>23</v>
      </c>
      <c r="J5" s="117" t="s">
        <v>24</v>
      </c>
      <c r="K5" s="660"/>
      <c r="L5" s="651"/>
    </row>
    <row r="6" spans="1:14" x14ac:dyDescent="0.2">
      <c r="A6" s="9" t="s">
        <v>5</v>
      </c>
      <c r="B6" s="9" t="s">
        <v>6</v>
      </c>
      <c r="C6" s="9" t="s">
        <v>7</v>
      </c>
      <c r="D6" s="10">
        <v>1</v>
      </c>
      <c r="E6" s="10">
        <v>2</v>
      </c>
      <c r="F6" s="10">
        <v>4</v>
      </c>
      <c r="G6" s="10">
        <v>5</v>
      </c>
      <c r="H6" s="10">
        <v>6</v>
      </c>
      <c r="I6" s="11">
        <v>7</v>
      </c>
      <c r="J6" s="11">
        <v>8</v>
      </c>
      <c r="K6" s="9">
        <v>9</v>
      </c>
      <c r="L6" s="9">
        <v>10</v>
      </c>
    </row>
    <row r="7" spans="1:14" ht="13.5" x14ac:dyDescent="0.25">
      <c r="A7" s="12"/>
      <c r="B7" s="12"/>
      <c r="C7" s="12"/>
      <c r="D7" s="13"/>
      <c r="E7" s="13"/>
      <c r="F7" s="14"/>
      <c r="G7" s="14"/>
      <c r="H7" s="14"/>
      <c r="I7" s="15"/>
      <c r="J7" s="15"/>
      <c r="K7" s="16"/>
      <c r="L7" s="12"/>
      <c r="N7" s="17"/>
    </row>
    <row r="8" spans="1:14" x14ac:dyDescent="0.2">
      <c r="A8" s="18" t="s">
        <v>12</v>
      </c>
      <c r="B8" s="640" t="s">
        <v>16</v>
      </c>
      <c r="C8" s="641"/>
      <c r="D8" s="641"/>
      <c r="E8" s="641"/>
      <c r="F8" s="641"/>
      <c r="G8" s="641"/>
      <c r="H8" s="641"/>
      <c r="I8" s="641"/>
      <c r="J8" s="641"/>
      <c r="K8" s="641"/>
      <c r="L8" s="642"/>
    </row>
    <row r="9" spans="1:14" x14ac:dyDescent="0.2">
      <c r="A9" s="61">
        <v>1</v>
      </c>
      <c r="B9" s="93" t="s">
        <v>63</v>
      </c>
      <c r="C9" s="19"/>
      <c r="D9" s="21"/>
      <c r="E9" s="22"/>
      <c r="F9" s="21"/>
      <c r="G9" s="21"/>
      <c r="H9" s="21"/>
      <c r="I9" s="23"/>
      <c r="J9" s="24"/>
      <c r="K9" s="25"/>
      <c r="L9" s="26"/>
    </row>
    <row r="10" spans="1:14" x14ac:dyDescent="0.2">
      <c r="A10" s="116"/>
      <c r="B10" s="65" t="s">
        <v>64</v>
      </c>
      <c r="C10" s="66" t="s">
        <v>76</v>
      </c>
      <c r="D10" s="107">
        <f>D12+D13</f>
        <v>462629</v>
      </c>
      <c r="E10" s="120">
        <f>E12+E13</f>
        <v>469102</v>
      </c>
      <c r="F10" s="107"/>
      <c r="G10" s="127"/>
      <c r="H10" s="127">
        <v>469102</v>
      </c>
      <c r="I10" s="23"/>
      <c r="J10" s="24"/>
      <c r="K10" s="31"/>
      <c r="L10" s="32"/>
    </row>
    <row r="11" spans="1:14" x14ac:dyDescent="0.2">
      <c r="A11" s="116"/>
      <c r="B11" s="65" t="s">
        <v>65</v>
      </c>
      <c r="C11" s="66"/>
      <c r="D11" s="99"/>
      <c r="E11" s="30"/>
      <c r="F11" s="107"/>
      <c r="G11" s="127"/>
      <c r="H11" s="127"/>
      <c r="I11" s="23"/>
      <c r="J11" s="24"/>
      <c r="K11" s="31"/>
      <c r="L11" s="32"/>
    </row>
    <row r="12" spans="1:14" x14ac:dyDescent="0.2">
      <c r="A12" s="116"/>
      <c r="B12" s="65" t="s">
        <v>66</v>
      </c>
      <c r="C12" s="66" t="s">
        <v>76</v>
      </c>
      <c r="D12" s="99">
        <v>82594</v>
      </c>
      <c r="E12" s="120">
        <v>84161</v>
      </c>
      <c r="F12" s="107"/>
      <c r="G12" s="127"/>
      <c r="H12" s="127">
        <v>84161</v>
      </c>
      <c r="I12" s="23"/>
      <c r="J12" s="24"/>
      <c r="K12" s="31"/>
      <c r="L12" s="32"/>
    </row>
    <row r="13" spans="1:14" x14ac:dyDescent="0.2">
      <c r="A13" s="116"/>
      <c r="B13" s="65" t="s">
        <v>67</v>
      </c>
      <c r="C13" s="66" t="s">
        <v>76</v>
      </c>
      <c r="D13" s="99">
        <v>380035</v>
      </c>
      <c r="E13" s="120">
        <v>384941</v>
      </c>
      <c r="F13" s="107"/>
      <c r="G13" s="127"/>
      <c r="H13" s="127">
        <v>384941</v>
      </c>
      <c r="I13" s="23"/>
      <c r="J13" s="24"/>
      <c r="K13" s="33"/>
      <c r="L13" s="34"/>
    </row>
    <row r="14" spans="1:14" x14ac:dyDescent="0.2">
      <c r="A14" s="116"/>
      <c r="B14" s="65" t="s">
        <v>68</v>
      </c>
      <c r="C14" s="66" t="s">
        <v>76</v>
      </c>
      <c r="D14" s="99">
        <v>390371</v>
      </c>
      <c r="E14" s="120">
        <v>397043</v>
      </c>
      <c r="F14" s="107"/>
      <c r="G14" s="127"/>
      <c r="H14" s="127">
        <v>397043</v>
      </c>
      <c r="I14" s="23"/>
      <c r="J14" s="24"/>
      <c r="K14" s="33"/>
      <c r="L14" s="34"/>
    </row>
    <row r="15" spans="1:14" x14ac:dyDescent="0.2">
      <c r="A15" s="116"/>
      <c r="B15" s="65" t="s">
        <v>69</v>
      </c>
      <c r="C15" s="66" t="s">
        <v>77</v>
      </c>
      <c r="D15" s="27">
        <v>2.04</v>
      </c>
      <c r="E15" s="121">
        <v>1.45</v>
      </c>
      <c r="F15" s="29"/>
      <c r="G15" s="128"/>
      <c r="H15" s="125">
        <v>1.45</v>
      </c>
      <c r="I15" s="23"/>
      <c r="J15" s="24"/>
      <c r="K15" s="35"/>
      <c r="L15" s="36"/>
    </row>
    <row r="16" spans="1:14" x14ac:dyDescent="0.2">
      <c r="A16" s="116"/>
      <c r="B16" s="65" t="s">
        <v>70</v>
      </c>
      <c r="C16" s="66" t="s">
        <v>78</v>
      </c>
      <c r="D16" s="27">
        <v>0.86</v>
      </c>
      <c r="E16" s="121">
        <v>0.5</v>
      </c>
      <c r="F16" s="29"/>
      <c r="G16" s="128"/>
      <c r="H16" s="125">
        <v>0.5</v>
      </c>
      <c r="I16" s="23"/>
      <c r="J16" s="24"/>
      <c r="K16" s="31"/>
      <c r="L16" s="32"/>
    </row>
    <row r="17" spans="1:12" x14ac:dyDescent="0.2">
      <c r="A17" s="116"/>
      <c r="B17" s="65" t="s">
        <v>71</v>
      </c>
      <c r="C17" s="66" t="s">
        <v>79</v>
      </c>
      <c r="D17" s="27">
        <v>15.75</v>
      </c>
      <c r="E17" s="121">
        <v>15.45</v>
      </c>
      <c r="F17" s="30"/>
      <c r="G17" s="121"/>
      <c r="H17" s="118">
        <v>15.45</v>
      </c>
      <c r="I17" s="23"/>
      <c r="J17" s="24"/>
      <c r="K17" s="35"/>
      <c r="L17" s="36"/>
    </row>
    <row r="18" spans="1:12" ht="22.5" x14ac:dyDescent="0.2">
      <c r="A18" s="116"/>
      <c r="B18" s="65" t="s">
        <v>72</v>
      </c>
      <c r="C18" s="66" t="s">
        <v>77</v>
      </c>
      <c r="D18" s="114">
        <v>109.06</v>
      </c>
      <c r="E18" s="122">
        <v>109.6</v>
      </c>
      <c r="F18" s="37"/>
      <c r="G18" s="37"/>
      <c r="H18" s="126">
        <v>109.6</v>
      </c>
      <c r="I18" s="23"/>
      <c r="J18" s="24"/>
      <c r="K18" s="38"/>
      <c r="L18" s="27"/>
    </row>
    <row r="19" spans="1:12" x14ac:dyDescent="0.2">
      <c r="A19" s="116">
        <v>2</v>
      </c>
      <c r="B19" s="64" t="s">
        <v>73</v>
      </c>
      <c r="C19" s="66"/>
      <c r="D19" s="114"/>
      <c r="E19" s="120"/>
      <c r="F19" s="30"/>
      <c r="G19" s="120"/>
      <c r="H19" s="118"/>
      <c r="I19" s="23"/>
      <c r="J19" s="24"/>
      <c r="K19" s="35"/>
      <c r="L19" s="36"/>
    </row>
    <row r="20" spans="1:12" ht="22.5" x14ac:dyDescent="0.2">
      <c r="A20" s="116"/>
      <c r="B20" s="65" t="s">
        <v>74</v>
      </c>
      <c r="C20" s="66" t="s">
        <v>77</v>
      </c>
      <c r="D20" s="114">
        <v>70.19</v>
      </c>
      <c r="E20" s="119">
        <v>70</v>
      </c>
      <c r="F20" s="30"/>
      <c r="G20" s="119"/>
      <c r="H20" s="118">
        <v>70</v>
      </c>
      <c r="I20" s="23"/>
      <c r="J20" s="24"/>
      <c r="K20" s="39"/>
      <c r="L20" s="27"/>
    </row>
    <row r="21" spans="1:12" ht="22.5" x14ac:dyDescent="0.2">
      <c r="A21" s="68"/>
      <c r="B21" s="69" t="s">
        <v>75</v>
      </c>
      <c r="C21" s="70" t="s">
        <v>77</v>
      </c>
      <c r="D21" s="71">
        <v>16.09</v>
      </c>
      <c r="E21" s="119">
        <v>15.5</v>
      </c>
      <c r="F21" s="42"/>
      <c r="G21" s="124"/>
      <c r="H21" s="115">
        <v>15.5</v>
      </c>
      <c r="I21" s="23"/>
      <c r="J21" s="24"/>
      <c r="K21" s="39"/>
      <c r="L21" s="40"/>
    </row>
    <row r="22" spans="1:12" x14ac:dyDescent="0.2">
      <c r="A22" s="74" t="s">
        <v>6</v>
      </c>
      <c r="B22" s="75" t="s">
        <v>18</v>
      </c>
      <c r="C22" s="40"/>
      <c r="D22" s="42"/>
      <c r="E22" s="30"/>
      <c r="F22" s="42"/>
      <c r="G22" s="42"/>
      <c r="H22" s="42"/>
      <c r="I22" s="23"/>
      <c r="J22" s="24"/>
      <c r="K22" s="39"/>
      <c r="L22" s="40"/>
    </row>
    <row r="23" spans="1:12" x14ac:dyDescent="0.2">
      <c r="A23" s="89" t="s">
        <v>12</v>
      </c>
      <c r="B23" s="90" t="s">
        <v>80</v>
      </c>
      <c r="C23" s="40"/>
      <c r="D23" s="42"/>
      <c r="E23" s="30"/>
      <c r="F23" s="42"/>
      <c r="G23" s="42"/>
      <c r="H23" s="42"/>
      <c r="I23" s="23"/>
      <c r="J23" s="24"/>
      <c r="K23" s="39"/>
      <c r="L23" s="40"/>
    </row>
    <row r="24" spans="1:12" x14ac:dyDescent="0.2">
      <c r="A24" s="79">
        <v>1</v>
      </c>
      <c r="B24" s="65" t="s">
        <v>81</v>
      </c>
      <c r="C24" s="79" t="s">
        <v>82</v>
      </c>
      <c r="D24" s="114">
        <v>122</v>
      </c>
      <c r="E24" s="30">
        <v>122</v>
      </c>
      <c r="F24" s="30"/>
      <c r="G24" s="120"/>
      <c r="H24" s="30">
        <v>122</v>
      </c>
      <c r="I24" s="23"/>
      <c r="J24" s="24"/>
      <c r="K24" s="39"/>
      <c r="L24" s="40"/>
    </row>
    <row r="25" spans="1:12" x14ac:dyDescent="0.2">
      <c r="A25" s="80"/>
      <c r="B25" s="81" t="s">
        <v>83</v>
      </c>
      <c r="C25" s="80" t="s">
        <v>84</v>
      </c>
      <c r="D25" s="114">
        <v>1</v>
      </c>
      <c r="E25" s="30">
        <v>1</v>
      </c>
      <c r="F25" s="30"/>
      <c r="G25" s="120"/>
      <c r="H25" s="30">
        <v>1</v>
      </c>
      <c r="I25" s="23"/>
      <c r="J25" s="24"/>
      <c r="K25" s="39"/>
      <c r="L25" s="40"/>
    </row>
    <row r="26" spans="1:12" x14ac:dyDescent="0.2">
      <c r="A26" s="80"/>
      <c r="B26" s="81" t="s">
        <v>85</v>
      </c>
      <c r="C26" s="80" t="s">
        <v>84</v>
      </c>
      <c r="D26" s="114">
        <v>2</v>
      </c>
      <c r="E26" s="30">
        <v>2</v>
      </c>
      <c r="F26" s="30"/>
      <c r="G26" s="120"/>
      <c r="H26" s="30">
        <v>2</v>
      </c>
      <c r="I26" s="23"/>
      <c r="J26" s="24"/>
      <c r="K26" s="39"/>
      <c r="L26" s="40"/>
    </row>
    <row r="27" spans="1:12" x14ac:dyDescent="0.2">
      <c r="A27" s="80"/>
      <c r="B27" s="81" t="s">
        <v>149</v>
      </c>
      <c r="C27" s="80" t="s">
        <v>87</v>
      </c>
      <c r="D27" s="114">
        <v>1</v>
      </c>
      <c r="E27" s="30">
        <v>1</v>
      </c>
      <c r="F27" s="30"/>
      <c r="G27" s="120"/>
      <c r="H27" s="30">
        <v>1</v>
      </c>
      <c r="I27" s="23"/>
      <c r="J27" s="24"/>
      <c r="K27" s="39"/>
      <c r="L27" s="40"/>
    </row>
    <row r="28" spans="1:12" x14ac:dyDescent="0.2">
      <c r="A28" s="80"/>
      <c r="B28" s="81" t="s">
        <v>86</v>
      </c>
      <c r="C28" s="80" t="s">
        <v>87</v>
      </c>
      <c r="D28" s="114">
        <v>8</v>
      </c>
      <c r="E28" s="30">
        <v>8</v>
      </c>
      <c r="F28" s="30"/>
      <c r="G28" s="120"/>
      <c r="H28" s="30">
        <v>8</v>
      </c>
      <c r="I28" s="23"/>
      <c r="J28" s="24"/>
      <c r="K28" s="39"/>
      <c r="L28" s="40"/>
    </row>
    <row r="29" spans="1:12" x14ac:dyDescent="0.2">
      <c r="A29" s="80"/>
      <c r="B29" s="98" t="s">
        <v>151</v>
      </c>
      <c r="C29" s="80" t="s">
        <v>87</v>
      </c>
      <c r="D29" s="114">
        <v>1</v>
      </c>
      <c r="E29" s="30">
        <v>1</v>
      </c>
      <c r="F29" s="30"/>
      <c r="G29" s="120"/>
      <c r="H29" s="30">
        <v>1</v>
      </c>
      <c r="I29" s="23"/>
      <c r="J29" s="24"/>
      <c r="K29" s="39"/>
      <c r="L29" s="40"/>
    </row>
    <row r="30" spans="1:12" x14ac:dyDescent="0.2">
      <c r="A30" s="80"/>
      <c r="B30" s="82" t="s">
        <v>88</v>
      </c>
      <c r="C30" s="80" t="s">
        <v>89</v>
      </c>
      <c r="D30" s="114">
        <v>4</v>
      </c>
      <c r="E30" s="30">
        <v>4</v>
      </c>
      <c r="F30" s="30"/>
      <c r="G30" s="120"/>
      <c r="H30" s="30">
        <v>4</v>
      </c>
      <c r="I30" s="23"/>
      <c r="J30" s="24"/>
      <c r="K30" s="39"/>
      <c r="L30" s="40"/>
    </row>
    <row r="31" spans="1:12" x14ac:dyDescent="0.2">
      <c r="A31" s="80"/>
      <c r="B31" s="82" t="s">
        <v>90</v>
      </c>
      <c r="C31" s="80" t="s">
        <v>91</v>
      </c>
      <c r="D31" s="114">
        <v>105</v>
      </c>
      <c r="E31" s="30">
        <v>105</v>
      </c>
      <c r="F31" s="30"/>
      <c r="G31" s="120"/>
      <c r="H31" s="30">
        <v>105</v>
      </c>
      <c r="I31" s="23"/>
      <c r="J31" s="24"/>
      <c r="K31" s="39"/>
      <c r="L31" s="40"/>
    </row>
    <row r="32" spans="1:12" x14ac:dyDescent="0.2">
      <c r="A32" s="79">
        <v>2</v>
      </c>
      <c r="B32" s="65" t="s">
        <v>92</v>
      </c>
      <c r="C32" s="79" t="s">
        <v>82</v>
      </c>
      <c r="D32" s="114">
        <v>2</v>
      </c>
      <c r="E32" s="30">
        <v>2</v>
      </c>
      <c r="F32" s="30"/>
      <c r="G32" s="120"/>
      <c r="H32" s="30">
        <v>2</v>
      </c>
      <c r="I32" s="23"/>
      <c r="J32" s="24"/>
      <c r="K32" s="39"/>
      <c r="L32" s="40"/>
    </row>
    <row r="33" spans="1:12" x14ac:dyDescent="0.2">
      <c r="A33" s="79">
        <v>3</v>
      </c>
      <c r="B33" s="83" t="s">
        <v>93</v>
      </c>
      <c r="C33" s="79" t="s">
        <v>94</v>
      </c>
      <c r="D33" s="114">
        <v>1450</v>
      </c>
      <c r="E33" s="30">
        <f>E34+E35</f>
        <v>1580</v>
      </c>
      <c r="F33" s="30"/>
      <c r="G33" s="120"/>
      <c r="H33" s="30">
        <v>1580</v>
      </c>
      <c r="I33" s="23"/>
      <c r="J33" s="24"/>
      <c r="K33" s="39"/>
      <c r="L33" s="40"/>
    </row>
    <row r="34" spans="1:12" x14ac:dyDescent="0.2">
      <c r="A34" s="79"/>
      <c r="B34" s="83" t="s">
        <v>95</v>
      </c>
      <c r="C34" s="79" t="s">
        <v>94</v>
      </c>
      <c r="D34" s="114">
        <v>590</v>
      </c>
      <c r="E34" s="30">
        <v>660</v>
      </c>
      <c r="F34" s="30"/>
      <c r="G34" s="120"/>
      <c r="H34" s="30">
        <v>660</v>
      </c>
      <c r="I34" s="23"/>
      <c r="J34" s="24"/>
      <c r="K34" s="39"/>
      <c r="L34" s="40"/>
    </row>
    <row r="35" spans="1:12" x14ac:dyDescent="0.2">
      <c r="A35" s="79"/>
      <c r="B35" s="83" t="s">
        <v>96</v>
      </c>
      <c r="C35" s="79" t="s">
        <v>94</v>
      </c>
      <c r="D35" s="114">
        <v>860</v>
      </c>
      <c r="E35" s="30">
        <f>E36+E37</f>
        <v>920</v>
      </c>
      <c r="F35" s="30"/>
      <c r="G35" s="120"/>
      <c r="H35" s="30">
        <v>920</v>
      </c>
      <c r="I35" s="23"/>
      <c r="J35" s="24"/>
      <c r="K35" s="39"/>
      <c r="L35" s="40"/>
    </row>
    <row r="36" spans="1:12" x14ac:dyDescent="0.2">
      <c r="A36" s="80"/>
      <c r="B36" s="81" t="s">
        <v>97</v>
      </c>
      <c r="C36" s="79" t="s">
        <v>94</v>
      </c>
      <c r="D36" s="114">
        <v>800</v>
      </c>
      <c r="E36" s="30">
        <v>860</v>
      </c>
      <c r="F36" s="30"/>
      <c r="G36" s="120"/>
      <c r="H36" s="30">
        <v>860</v>
      </c>
      <c r="I36" s="23"/>
      <c r="J36" s="24"/>
      <c r="K36" s="39"/>
      <c r="L36" s="40"/>
    </row>
    <row r="37" spans="1:12" x14ac:dyDescent="0.2">
      <c r="A37" s="80"/>
      <c r="B37" s="95" t="s">
        <v>150</v>
      </c>
      <c r="C37" s="80" t="s">
        <v>94</v>
      </c>
      <c r="D37" s="114">
        <v>60</v>
      </c>
      <c r="E37" s="30">
        <v>60</v>
      </c>
      <c r="F37" s="30"/>
      <c r="G37" s="120"/>
      <c r="H37" s="30">
        <v>60</v>
      </c>
      <c r="I37" s="23"/>
      <c r="J37" s="24"/>
      <c r="K37" s="39"/>
      <c r="L37" s="40"/>
    </row>
    <row r="38" spans="1:12" ht="22.5" x14ac:dyDescent="0.2">
      <c r="A38" s="79">
        <v>4</v>
      </c>
      <c r="B38" s="65" t="s">
        <v>98</v>
      </c>
      <c r="C38" s="79" t="s">
        <v>94</v>
      </c>
      <c r="D38" s="114">
        <v>31.68</v>
      </c>
      <c r="E38" s="118">
        <f>E33/E10*10000</f>
        <v>33.68137420006736</v>
      </c>
      <c r="F38" s="118"/>
      <c r="G38" s="118"/>
      <c r="H38" s="118">
        <v>33.68137420006736</v>
      </c>
      <c r="I38" s="23"/>
      <c r="J38" s="24"/>
      <c r="K38" s="39"/>
      <c r="L38" s="40"/>
    </row>
    <row r="39" spans="1:12" ht="22.5" x14ac:dyDescent="0.2">
      <c r="A39" s="80"/>
      <c r="B39" s="84" t="s">
        <v>99</v>
      </c>
      <c r="C39" s="80" t="s">
        <v>100</v>
      </c>
      <c r="D39" s="114">
        <v>31.68</v>
      </c>
      <c r="E39" s="118">
        <f>E33/E10*10000</f>
        <v>33.68137420006736</v>
      </c>
      <c r="F39" s="118"/>
      <c r="G39" s="118"/>
      <c r="H39" s="118">
        <v>33.68137420006736</v>
      </c>
      <c r="I39" s="23"/>
      <c r="J39" s="24"/>
      <c r="K39" s="39"/>
      <c r="L39" s="40"/>
    </row>
    <row r="40" spans="1:12" x14ac:dyDescent="0.2">
      <c r="A40" s="77" t="s">
        <v>101</v>
      </c>
      <c r="B40" s="78" t="s">
        <v>102</v>
      </c>
      <c r="C40" s="77"/>
      <c r="D40" s="100"/>
      <c r="E40" s="30"/>
      <c r="F40" s="42"/>
      <c r="G40" s="120"/>
      <c r="H40" s="42"/>
      <c r="I40" s="23"/>
      <c r="J40" s="24"/>
      <c r="K40" s="39"/>
      <c r="L40" s="40"/>
    </row>
    <row r="41" spans="1:12" x14ac:dyDescent="0.2">
      <c r="A41" s="79">
        <v>1</v>
      </c>
      <c r="B41" s="65" t="s">
        <v>103</v>
      </c>
      <c r="C41" s="101" t="s">
        <v>76</v>
      </c>
      <c r="D41" s="106">
        <v>2842</v>
      </c>
      <c r="E41" s="30">
        <v>3085</v>
      </c>
      <c r="F41" s="120"/>
      <c r="G41" s="120"/>
      <c r="H41" s="120">
        <v>3085</v>
      </c>
      <c r="I41" s="23"/>
      <c r="J41" s="24"/>
      <c r="K41" s="39"/>
      <c r="L41" s="40"/>
    </row>
    <row r="42" spans="1:12" x14ac:dyDescent="0.2">
      <c r="A42" s="79"/>
      <c r="B42" s="65" t="s">
        <v>104</v>
      </c>
      <c r="C42" s="101"/>
      <c r="D42" s="28"/>
      <c r="E42" s="30"/>
      <c r="F42" s="120"/>
      <c r="G42" s="120"/>
      <c r="H42" s="120"/>
      <c r="I42" s="23"/>
      <c r="J42" s="24"/>
      <c r="K42" s="39"/>
      <c r="L42" s="40"/>
    </row>
    <row r="43" spans="1:12" x14ac:dyDescent="0.2">
      <c r="A43" s="79" t="s">
        <v>105</v>
      </c>
      <c r="B43" s="65" t="s">
        <v>106</v>
      </c>
      <c r="C43" s="101" t="s">
        <v>76</v>
      </c>
      <c r="D43" s="28">
        <v>419</v>
      </c>
      <c r="E43" s="30">
        <v>568</v>
      </c>
      <c r="F43" s="120"/>
      <c r="G43" s="120"/>
      <c r="H43" s="120">
        <v>568</v>
      </c>
      <c r="I43" s="23"/>
      <c r="J43" s="24"/>
      <c r="K43" s="39"/>
      <c r="L43" s="40"/>
    </row>
    <row r="44" spans="1:12" x14ac:dyDescent="0.2">
      <c r="A44" s="80"/>
      <c r="B44" s="82" t="s">
        <v>107</v>
      </c>
      <c r="C44" s="102" t="s">
        <v>108</v>
      </c>
      <c r="D44" s="104">
        <v>9.0569333094120772</v>
      </c>
      <c r="E44" s="118">
        <f>E43/E10*10000</f>
        <v>12.108240851669786</v>
      </c>
      <c r="F44" s="118"/>
      <c r="G44" s="121"/>
      <c r="H44" s="118">
        <v>12.108240851669786</v>
      </c>
      <c r="I44" s="23"/>
      <c r="J44" s="24"/>
      <c r="K44" s="39"/>
      <c r="L44" s="40"/>
    </row>
    <row r="45" spans="1:12" x14ac:dyDescent="0.2">
      <c r="A45" s="79" t="s">
        <v>109</v>
      </c>
      <c r="B45" s="65" t="s">
        <v>110</v>
      </c>
      <c r="C45" s="101" t="s">
        <v>76</v>
      </c>
      <c r="D45" s="28">
        <v>52</v>
      </c>
      <c r="E45" s="30">
        <v>65</v>
      </c>
      <c r="F45" s="120"/>
      <c r="G45" s="120"/>
      <c r="H45" s="120">
        <v>65</v>
      </c>
      <c r="I45" s="23"/>
      <c r="J45" s="24"/>
      <c r="K45" s="39"/>
      <c r="L45" s="40"/>
    </row>
    <row r="46" spans="1:12" x14ac:dyDescent="0.2">
      <c r="A46" s="80"/>
      <c r="B46" s="82" t="s">
        <v>111</v>
      </c>
      <c r="C46" s="102" t="s">
        <v>108</v>
      </c>
      <c r="D46" s="104">
        <v>1.1240108164425491</v>
      </c>
      <c r="E46" s="118">
        <f>E45/E10*10000</f>
        <v>1.3856261538002397</v>
      </c>
      <c r="F46" s="118"/>
      <c r="G46" s="118"/>
      <c r="H46" s="118">
        <v>1.3856261538002397</v>
      </c>
      <c r="I46" s="23"/>
      <c r="J46" s="24"/>
      <c r="K46" s="39"/>
      <c r="L46" s="40"/>
    </row>
    <row r="47" spans="1:12" ht="22.5" x14ac:dyDescent="0.2">
      <c r="A47" s="79">
        <v>3</v>
      </c>
      <c r="B47" s="65" t="s">
        <v>112</v>
      </c>
      <c r="C47" s="101" t="s">
        <v>77</v>
      </c>
      <c r="D47" s="104">
        <v>17.592592592592592</v>
      </c>
      <c r="E47" s="118">
        <f>20/108*100</f>
        <v>18.518518518518519</v>
      </c>
      <c r="F47" s="118"/>
      <c r="G47" s="118"/>
      <c r="H47" s="118">
        <v>18.518518518518519</v>
      </c>
      <c r="I47" s="23"/>
      <c r="J47" s="24"/>
      <c r="K47" s="39"/>
      <c r="L47" s="40"/>
    </row>
    <row r="48" spans="1:12" ht="22.5" x14ac:dyDescent="0.2">
      <c r="A48" s="79">
        <v>5</v>
      </c>
      <c r="B48" s="65" t="s">
        <v>113</v>
      </c>
      <c r="C48" s="79" t="s">
        <v>77</v>
      </c>
      <c r="D48" s="103">
        <v>95.909090909090907</v>
      </c>
      <c r="E48" s="118">
        <f>922/954*100</f>
        <v>96.645702306079656</v>
      </c>
      <c r="F48" s="118"/>
      <c r="G48" s="121"/>
      <c r="H48" s="118">
        <v>96.645702306079656</v>
      </c>
      <c r="I48" s="23"/>
      <c r="J48" s="24"/>
      <c r="K48" s="39"/>
      <c r="L48" s="40"/>
    </row>
    <row r="49" spans="1:12" x14ac:dyDescent="0.2">
      <c r="A49" s="77" t="s">
        <v>114</v>
      </c>
      <c r="B49" s="78" t="s">
        <v>115</v>
      </c>
      <c r="C49" s="85"/>
      <c r="D49" s="42"/>
      <c r="E49" s="30"/>
      <c r="F49" s="42"/>
      <c r="G49" s="120"/>
      <c r="H49" s="118"/>
      <c r="I49" s="23"/>
      <c r="J49" s="24"/>
      <c r="K49" s="39"/>
      <c r="L49" s="40"/>
    </row>
    <row r="50" spans="1:12" x14ac:dyDescent="0.2">
      <c r="A50" s="79">
        <v>1</v>
      </c>
      <c r="B50" s="65" t="s">
        <v>116</v>
      </c>
      <c r="C50" s="79" t="s">
        <v>117</v>
      </c>
      <c r="D50" s="42">
        <v>81</v>
      </c>
      <c r="E50" s="30">
        <v>90</v>
      </c>
      <c r="F50" s="30"/>
      <c r="G50" s="120"/>
      <c r="H50" s="120">
        <v>90</v>
      </c>
      <c r="I50" s="23"/>
      <c r="J50" s="24"/>
      <c r="K50" s="39"/>
      <c r="L50" s="40"/>
    </row>
    <row r="51" spans="1:12" ht="22.5" x14ac:dyDescent="0.2">
      <c r="A51" s="79"/>
      <c r="B51" s="82" t="s">
        <v>118</v>
      </c>
      <c r="C51" s="79" t="s">
        <v>117</v>
      </c>
      <c r="D51" s="42">
        <v>6</v>
      </c>
      <c r="E51" s="30">
        <v>3</v>
      </c>
      <c r="F51" s="30"/>
      <c r="G51" s="120"/>
      <c r="H51" s="120">
        <v>3</v>
      </c>
      <c r="I51" s="23"/>
      <c r="J51" s="24"/>
      <c r="K51" s="39"/>
      <c r="L51" s="40"/>
    </row>
    <row r="52" spans="1:12" x14ac:dyDescent="0.2">
      <c r="A52" s="86"/>
      <c r="B52" s="82" t="s">
        <v>119</v>
      </c>
      <c r="C52" s="80" t="s">
        <v>77</v>
      </c>
      <c r="D52" s="42">
        <v>75</v>
      </c>
      <c r="E52" s="118">
        <f>90/108*100</f>
        <v>83.333333333333343</v>
      </c>
      <c r="F52" s="118"/>
      <c r="G52" s="121"/>
      <c r="H52" s="118">
        <v>83.333333333333343</v>
      </c>
      <c r="I52" s="23"/>
      <c r="J52" s="24"/>
      <c r="K52" s="39"/>
      <c r="L52" s="40"/>
    </row>
    <row r="53" spans="1:12" ht="22.5" x14ac:dyDescent="0.2">
      <c r="A53" s="79">
        <v>2</v>
      </c>
      <c r="B53" s="65" t="s">
        <v>120</v>
      </c>
      <c r="C53" s="79" t="s">
        <v>121</v>
      </c>
      <c r="D53" s="42"/>
      <c r="E53" s="30">
        <v>29.99</v>
      </c>
      <c r="F53" s="30"/>
      <c r="G53" s="121"/>
      <c r="H53" s="118">
        <v>29.99</v>
      </c>
      <c r="I53" s="23"/>
      <c r="J53" s="24"/>
      <c r="K53" s="39"/>
      <c r="L53" s="40"/>
    </row>
    <row r="54" spans="1:12" ht="22.5" x14ac:dyDescent="0.2">
      <c r="A54" s="79">
        <v>3</v>
      </c>
      <c r="B54" s="65" t="s">
        <v>122</v>
      </c>
      <c r="C54" s="79" t="s">
        <v>121</v>
      </c>
      <c r="D54" s="42"/>
      <c r="E54" s="30">
        <v>43.14</v>
      </c>
      <c r="F54" s="30"/>
      <c r="G54" s="121"/>
      <c r="H54" s="118">
        <v>43.14</v>
      </c>
      <c r="I54" s="23"/>
      <c r="J54" s="24"/>
      <c r="K54" s="39"/>
      <c r="L54" s="40"/>
    </row>
    <row r="55" spans="1:12" ht="22.5" x14ac:dyDescent="0.2">
      <c r="A55" s="79">
        <v>4</v>
      </c>
      <c r="B55" s="65" t="s">
        <v>123</v>
      </c>
      <c r="C55" s="79" t="s">
        <v>124</v>
      </c>
      <c r="D55" s="42"/>
      <c r="E55" s="30">
        <v>19.989999999999998</v>
      </c>
      <c r="F55" s="30"/>
      <c r="G55" s="120"/>
      <c r="H55" s="118">
        <v>19.989999999999998</v>
      </c>
      <c r="I55" s="23"/>
      <c r="J55" s="24"/>
      <c r="K55" s="39"/>
      <c r="L55" s="40"/>
    </row>
    <row r="56" spans="1:12" ht="22.5" x14ac:dyDescent="0.2">
      <c r="A56" s="79">
        <v>5</v>
      </c>
      <c r="B56" s="65" t="s">
        <v>125</v>
      </c>
      <c r="C56" s="79" t="s">
        <v>126</v>
      </c>
      <c r="D56" s="42">
        <v>0</v>
      </c>
      <c r="E56" s="30">
        <v>75</v>
      </c>
      <c r="F56" s="30"/>
      <c r="G56" s="120"/>
      <c r="H56" s="118">
        <v>75</v>
      </c>
      <c r="I56" s="23"/>
      <c r="J56" s="24"/>
      <c r="K56" s="39"/>
      <c r="L56" s="40"/>
    </row>
    <row r="57" spans="1:12" ht="22.5" x14ac:dyDescent="0.2">
      <c r="A57" s="79">
        <v>6</v>
      </c>
      <c r="B57" s="65" t="s">
        <v>127</v>
      </c>
      <c r="C57" s="79" t="s">
        <v>77</v>
      </c>
      <c r="D57" s="42"/>
      <c r="E57" s="30">
        <v>94.2</v>
      </c>
      <c r="F57" s="30"/>
      <c r="G57" s="121"/>
      <c r="H57" s="118">
        <v>94.2</v>
      </c>
      <c r="I57" s="23"/>
      <c r="J57" s="24"/>
      <c r="K57" s="39"/>
      <c r="L57" s="40"/>
    </row>
    <row r="58" spans="1:12" x14ac:dyDescent="0.2">
      <c r="A58" s="79">
        <v>7</v>
      </c>
      <c r="B58" s="65" t="s">
        <v>128</v>
      </c>
      <c r="C58" s="79" t="s">
        <v>77</v>
      </c>
      <c r="D58" s="42"/>
      <c r="E58" s="30">
        <v>62.8</v>
      </c>
      <c r="F58" s="30"/>
      <c r="G58" s="121"/>
      <c r="H58" s="118">
        <v>62.8</v>
      </c>
      <c r="I58" s="23"/>
      <c r="J58" s="24"/>
      <c r="K58" s="39"/>
      <c r="L58" s="40"/>
    </row>
    <row r="59" spans="1:12" x14ac:dyDescent="0.2">
      <c r="A59" s="79">
        <v>8</v>
      </c>
      <c r="B59" s="65" t="s">
        <v>129</v>
      </c>
      <c r="C59" s="79" t="s">
        <v>77</v>
      </c>
      <c r="D59" s="42"/>
      <c r="E59" s="30">
        <v>68.5</v>
      </c>
      <c r="F59" s="30"/>
      <c r="G59" s="121"/>
      <c r="H59" s="118">
        <v>68.5</v>
      </c>
      <c r="I59" s="23"/>
      <c r="J59" s="24"/>
      <c r="K59" s="39"/>
      <c r="L59" s="40"/>
    </row>
    <row r="60" spans="1:12" x14ac:dyDescent="0.2">
      <c r="A60" s="79">
        <v>9</v>
      </c>
      <c r="B60" s="65" t="s">
        <v>130</v>
      </c>
      <c r="C60" s="79"/>
      <c r="D60" s="42"/>
      <c r="E60" s="30"/>
      <c r="F60" s="30"/>
      <c r="G60" s="120"/>
      <c r="H60" s="118"/>
      <c r="I60" s="23"/>
      <c r="J60" s="24"/>
      <c r="K60" s="39"/>
      <c r="L60" s="40"/>
    </row>
    <row r="61" spans="1:12" x14ac:dyDescent="0.2">
      <c r="A61" s="87"/>
      <c r="B61" s="88" t="s">
        <v>131</v>
      </c>
      <c r="C61" s="87" t="s">
        <v>79</v>
      </c>
      <c r="D61" s="115">
        <v>2.8100270411063725E-2</v>
      </c>
      <c r="E61" s="30">
        <v>2</v>
      </c>
      <c r="F61" s="30"/>
      <c r="G61" s="121"/>
      <c r="H61" s="118">
        <v>2</v>
      </c>
      <c r="I61" s="23"/>
      <c r="J61" s="24"/>
      <c r="K61" s="39"/>
      <c r="L61" s="40"/>
    </row>
    <row r="62" spans="1:12" x14ac:dyDescent="0.2">
      <c r="A62" s="80"/>
      <c r="B62" s="105" t="s">
        <v>132</v>
      </c>
      <c r="C62" s="80" t="s">
        <v>133</v>
      </c>
      <c r="D62" s="115">
        <v>6.9169896396464559</v>
      </c>
      <c r="E62" s="30">
        <v>45.2</v>
      </c>
      <c r="F62" s="118"/>
      <c r="G62" s="121"/>
      <c r="H62" s="118">
        <v>45.2</v>
      </c>
      <c r="I62" s="23"/>
      <c r="J62" s="24"/>
      <c r="K62" s="39"/>
      <c r="L62" s="40"/>
    </row>
    <row r="63" spans="1:12" x14ac:dyDescent="0.2">
      <c r="A63" s="80"/>
      <c r="B63" s="82" t="s">
        <v>134</v>
      </c>
      <c r="C63" s="80" t="s">
        <v>77</v>
      </c>
      <c r="D63" s="115">
        <v>0.37892133869688238</v>
      </c>
      <c r="E63" s="30">
        <v>0.4</v>
      </c>
      <c r="F63" s="30"/>
      <c r="G63" s="121"/>
      <c r="H63" s="118">
        <v>0.4</v>
      </c>
      <c r="I63" s="23"/>
      <c r="J63" s="24"/>
      <c r="K63" s="39"/>
      <c r="L63" s="40"/>
    </row>
    <row r="64" spans="1:12" x14ac:dyDescent="0.2">
      <c r="A64" s="79">
        <v>10</v>
      </c>
      <c r="B64" s="65" t="s">
        <v>135</v>
      </c>
      <c r="C64" s="66" t="s">
        <v>77</v>
      </c>
      <c r="D64" s="42"/>
      <c r="E64" s="30">
        <v>96.8</v>
      </c>
      <c r="F64" s="30"/>
      <c r="G64" s="120"/>
      <c r="H64" s="118">
        <v>96.8</v>
      </c>
      <c r="I64" s="23"/>
      <c r="J64" s="24"/>
      <c r="K64" s="39"/>
      <c r="L64" s="40"/>
    </row>
    <row r="65" spans="1:12" x14ac:dyDescent="0.2">
      <c r="A65" s="77" t="s">
        <v>136</v>
      </c>
      <c r="B65" s="78" t="s">
        <v>137</v>
      </c>
      <c r="C65" s="77"/>
      <c r="D65" s="42"/>
      <c r="E65" s="30"/>
      <c r="F65" s="30"/>
      <c r="G65" s="120"/>
      <c r="H65" s="118"/>
      <c r="I65" s="23"/>
      <c r="J65" s="24"/>
      <c r="K65" s="39"/>
      <c r="L65" s="40"/>
    </row>
    <row r="66" spans="1:12" x14ac:dyDescent="0.2">
      <c r="A66" s="77">
        <v>1</v>
      </c>
      <c r="B66" s="78" t="s">
        <v>138</v>
      </c>
      <c r="C66" s="77"/>
      <c r="D66" s="42"/>
      <c r="E66" s="30"/>
      <c r="F66" s="30"/>
      <c r="G66" s="120"/>
      <c r="H66" s="118"/>
      <c r="I66" s="23"/>
      <c r="J66" s="24"/>
      <c r="K66" s="39"/>
      <c r="L66" s="40"/>
    </row>
    <row r="67" spans="1:12" x14ac:dyDescent="0.2">
      <c r="A67" s="79"/>
      <c r="B67" s="65" t="s">
        <v>139</v>
      </c>
      <c r="C67" s="79" t="s">
        <v>76</v>
      </c>
      <c r="D67" s="42">
        <v>56</v>
      </c>
      <c r="E67" s="30">
        <v>50</v>
      </c>
      <c r="F67" s="30"/>
      <c r="G67" s="120"/>
      <c r="H67" s="120">
        <v>50</v>
      </c>
      <c r="I67" s="23"/>
      <c r="J67" s="24"/>
      <c r="K67" s="39"/>
      <c r="L67" s="40"/>
    </row>
    <row r="68" spans="1:12" x14ac:dyDescent="0.2">
      <c r="A68" s="79"/>
      <c r="B68" s="65" t="s">
        <v>140</v>
      </c>
      <c r="C68" s="79" t="s">
        <v>76</v>
      </c>
      <c r="D68" s="42">
        <v>120</v>
      </c>
      <c r="E68" s="30">
        <v>171</v>
      </c>
      <c r="F68" s="30"/>
      <c r="G68" s="120"/>
      <c r="H68" s="120">
        <v>171</v>
      </c>
      <c r="I68" s="23"/>
      <c r="J68" s="24"/>
      <c r="K68" s="39"/>
      <c r="L68" s="40"/>
    </row>
    <row r="69" spans="1:12" x14ac:dyDescent="0.2">
      <c r="A69" s="79"/>
      <c r="B69" s="65" t="s">
        <v>141</v>
      </c>
      <c r="C69" s="79" t="s">
        <v>76</v>
      </c>
      <c r="D69" s="42">
        <v>82</v>
      </c>
      <c r="E69" s="30"/>
      <c r="F69" s="30"/>
      <c r="G69" s="120"/>
      <c r="H69" s="120"/>
      <c r="I69" s="23"/>
      <c r="J69" s="24"/>
      <c r="K69" s="39"/>
      <c r="L69" s="40"/>
    </row>
    <row r="70" spans="1:12" x14ac:dyDescent="0.2">
      <c r="A70" s="79"/>
      <c r="B70" s="65" t="s">
        <v>142</v>
      </c>
      <c r="C70" s="79" t="s">
        <v>76</v>
      </c>
      <c r="D70" s="42">
        <v>12</v>
      </c>
      <c r="E70" s="30">
        <v>12</v>
      </c>
      <c r="F70" s="30"/>
      <c r="G70" s="120"/>
      <c r="H70" s="120">
        <v>12</v>
      </c>
      <c r="I70" s="23"/>
      <c r="J70" s="24"/>
      <c r="K70" s="39"/>
      <c r="L70" s="40"/>
    </row>
    <row r="71" spans="1:12" x14ac:dyDescent="0.2">
      <c r="A71" s="77">
        <v>2</v>
      </c>
      <c r="B71" s="78" t="s">
        <v>143</v>
      </c>
      <c r="C71" s="77"/>
      <c r="D71" s="42"/>
      <c r="E71" s="30"/>
      <c r="F71" s="30"/>
      <c r="G71" s="120"/>
      <c r="H71" s="120"/>
      <c r="I71" s="23"/>
      <c r="J71" s="24"/>
      <c r="K71" s="39"/>
      <c r="L71" s="40"/>
    </row>
    <row r="72" spans="1:12" x14ac:dyDescent="0.2">
      <c r="A72" s="79"/>
      <c r="B72" s="65" t="s">
        <v>139</v>
      </c>
      <c r="C72" s="79" t="s">
        <v>76</v>
      </c>
      <c r="D72" s="42">
        <v>10</v>
      </c>
      <c r="E72" s="30">
        <v>20</v>
      </c>
      <c r="F72" s="30"/>
      <c r="G72" s="120"/>
      <c r="H72" s="120">
        <v>20</v>
      </c>
      <c r="I72" s="23"/>
      <c r="J72" s="24"/>
      <c r="K72" s="39"/>
      <c r="L72" s="40"/>
    </row>
    <row r="73" spans="1:12" x14ac:dyDescent="0.2">
      <c r="A73" s="79"/>
      <c r="B73" s="65" t="s">
        <v>140</v>
      </c>
      <c r="C73" s="79" t="s">
        <v>76</v>
      </c>
      <c r="D73" s="42">
        <v>80</v>
      </c>
      <c r="E73" s="30">
        <v>15</v>
      </c>
      <c r="F73" s="30"/>
      <c r="G73" s="120"/>
      <c r="H73" s="120">
        <v>15</v>
      </c>
      <c r="I73" s="23"/>
      <c r="J73" s="24"/>
      <c r="K73" s="39"/>
      <c r="L73" s="40"/>
    </row>
    <row r="74" spans="1:12" ht="33.75" x14ac:dyDescent="0.2">
      <c r="A74" s="79"/>
      <c r="B74" s="65" t="s">
        <v>144</v>
      </c>
      <c r="C74" s="79" t="s">
        <v>76</v>
      </c>
      <c r="D74" s="42">
        <v>118</v>
      </c>
      <c r="E74" s="30">
        <v>0</v>
      </c>
      <c r="F74" s="30"/>
      <c r="G74" s="120"/>
      <c r="H74" s="120">
        <v>0</v>
      </c>
      <c r="I74" s="23"/>
      <c r="J74" s="24"/>
      <c r="K74" s="39"/>
      <c r="L74" s="40"/>
    </row>
    <row r="75" spans="1:12" ht="22.5" x14ac:dyDescent="0.2">
      <c r="A75" s="51"/>
      <c r="B75" s="91" t="s">
        <v>145</v>
      </c>
      <c r="C75" s="92" t="s">
        <v>146</v>
      </c>
      <c r="D75" s="123">
        <v>2062</v>
      </c>
      <c r="E75" s="120">
        <v>2200</v>
      </c>
      <c r="F75" s="120"/>
      <c r="G75" s="120"/>
      <c r="H75" s="120">
        <v>2200</v>
      </c>
      <c r="I75" s="23"/>
      <c r="J75" s="24"/>
      <c r="K75" s="39"/>
      <c r="L75" s="40"/>
    </row>
    <row r="76" spans="1:12" ht="15.75" x14ac:dyDescent="0.25">
      <c r="A76" s="643" t="s">
        <v>33</v>
      </c>
      <c r="B76" s="643"/>
      <c r="C76" s="643"/>
      <c r="D76" s="643"/>
      <c r="E76" s="643"/>
      <c r="F76" s="643"/>
      <c r="G76" s="643"/>
      <c r="H76" s="643"/>
      <c r="I76" s="643"/>
      <c r="J76" s="643"/>
      <c r="K76" s="643"/>
      <c r="L76" s="643"/>
    </row>
  </sheetData>
  <mergeCells count="13">
    <mergeCell ref="L4:L5"/>
    <mergeCell ref="B8:L8"/>
    <mergeCell ref="A76:L76"/>
    <mergeCell ref="A1:B1"/>
    <mergeCell ref="A2:L2"/>
    <mergeCell ref="A3:L3"/>
    <mergeCell ref="A4:A5"/>
    <mergeCell ref="B4:B5"/>
    <mergeCell ref="C4:C5"/>
    <mergeCell ref="D4:D5"/>
    <mergeCell ref="E4:H4"/>
    <mergeCell ref="I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Báo cáo tháng</vt:lpstr>
      <vt:lpstr>Sheet1</vt:lpstr>
      <vt:lpstr>Báo cáo năm</vt:lpstr>
      <vt:lpstr>Báo cáo chính thức</vt:lpstr>
      <vt:lpstr>Báo cáo 6 tháng</vt:lpstr>
      <vt:lpstr>Bao cao 6 thang</vt:lpstr>
      <vt:lpstr>KCB Chung </vt:lpstr>
      <vt:lpstr>NN</vt:lpstr>
      <vt:lpstr>TE</vt:lpstr>
      <vt:lpstr>Biểu tổng SKHĐT </vt:lpstr>
      <vt:lpstr>Biểu chi tiết SKHĐT</vt:lpstr>
      <vt:lpstr>Báo cáo 9 tháng </vt:lpstr>
      <vt:lpstr>'Báo cáo tháng'!Print_Titles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NGUYET2020</cp:lastModifiedBy>
  <cp:lastPrinted>2022-08-11T02:32:37Z</cp:lastPrinted>
  <dcterms:created xsi:type="dcterms:W3CDTF">2019-10-15T04:15:12Z</dcterms:created>
  <dcterms:modified xsi:type="dcterms:W3CDTF">2022-08-11T02:32:45Z</dcterms:modified>
</cp:coreProperties>
</file>