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háng\Tổng kết\Báo cáo tổng kết ngành y tế năm 2022\Báo cáo chuẩn\"/>
    </mc:Choice>
  </mc:AlternateContent>
  <bookViews>
    <workbookView xWindow="0" yWindow="0" windowWidth="24000" windowHeight="10095" firstSheet="1" activeTab="1"/>
  </bookViews>
  <sheets>
    <sheet name="Báo cáo tháng" sheetId="5" state="hidden" r:id="rId1"/>
    <sheet name="Báo cáo năm 2022" sheetId="14" r:id="rId2"/>
  </sheets>
  <definedNames>
    <definedName name="_xlnm.Print_Titles" localSheetId="0">'Báo cáo tháng'!$5:$6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4" l="1"/>
  <c r="AF67" i="5" l="1"/>
  <c r="G54" i="14" l="1"/>
  <c r="G50" i="14"/>
  <c r="G49" i="14"/>
  <c r="G35" i="14"/>
  <c r="G25" i="14"/>
  <c r="G10" i="14"/>
  <c r="G46" i="14" l="1"/>
  <c r="G41" i="14"/>
  <c r="G40" i="14"/>
  <c r="G48" i="14"/>
  <c r="AG68" i="5"/>
  <c r="AG67" i="5"/>
  <c r="AG66" i="5"/>
  <c r="AG64" i="5"/>
  <c r="AG63" i="5"/>
  <c r="AG62" i="5"/>
  <c r="AI56" i="5"/>
  <c r="AH56" i="5"/>
  <c r="AG56" i="5"/>
  <c r="AI11" i="5"/>
  <c r="AH11" i="5"/>
  <c r="AG11" i="5"/>
  <c r="W68" i="5"/>
  <c r="T68" i="5"/>
  <c r="S68" i="5"/>
  <c r="R68" i="5"/>
  <c r="O68" i="5"/>
  <c r="L68" i="5"/>
  <c r="I68" i="5"/>
  <c r="E68" i="5"/>
  <c r="T67" i="5"/>
  <c r="S67" i="5"/>
  <c r="Q67" i="5"/>
  <c r="M67" i="5"/>
  <c r="I67" i="5"/>
  <c r="E67" i="5"/>
  <c r="AC66" i="5"/>
  <c r="Y66" i="5"/>
  <c r="T66" i="5"/>
  <c r="S66" i="5"/>
  <c r="Q66" i="5"/>
  <c r="M66" i="5"/>
  <c r="L66" i="5"/>
  <c r="K66" i="5"/>
  <c r="G66" i="5"/>
  <c r="AF64" i="5"/>
  <c r="AE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AF63" i="5"/>
  <c r="AE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E63" i="5"/>
  <c r="D63" i="5"/>
  <c r="AF62" i="5"/>
  <c r="AE62" i="5"/>
  <c r="AC62" i="5"/>
  <c r="AB62" i="5"/>
  <c r="AA62" i="5"/>
  <c r="Z62" i="5"/>
  <c r="Y62" i="5"/>
  <c r="X62" i="5"/>
  <c r="W62" i="5"/>
  <c r="V62" i="5"/>
  <c r="U62" i="5"/>
  <c r="T62" i="5"/>
  <c r="S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AG61" i="5"/>
  <c r="AC61" i="5"/>
  <c r="AB61" i="5"/>
  <c r="AA61" i="5"/>
  <c r="Z61" i="5"/>
  <c r="Y61" i="5"/>
  <c r="X61" i="5"/>
  <c r="W61" i="5"/>
  <c r="U61" i="5"/>
  <c r="T61" i="5"/>
  <c r="R61" i="5"/>
  <c r="Q61" i="5"/>
  <c r="O61" i="5"/>
  <c r="N61" i="5"/>
  <c r="L61" i="5"/>
  <c r="K61" i="5"/>
  <c r="J61" i="5"/>
  <c r="H61" i="5"/>
  <c r="G61" i="5"/>
  <c r="AG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AG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AM52" i="5"/>
  <c r="AL52" i="5"/>
  <c r="AK52" i="5"/>
  <c r="AJ52" i="5"/>
  <c r="AI52" i="5"/>
  <c r="AH52" i="5"/>
  <c r="AG52" i="5"/>
  <c r="AF52" i="5"/>
  <c r="AE52" i="5"/>
  <c r="AD52" i="5"/>
  <c r="AA52" i="5"/>
  <c r="Z52" i="5"/>
  <c r="AB52" i="5" s="1"/>
  <c r="AC52" i="5" s="1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M51" i="5"/>
  <c r="AL51" i="5"/>
  <c r="AK51" i="5"/>
  <c r="AJ51" i="5"/>
  <c r="AI51" i="5"/>
  <c r="AH51" i="5"/>
  <c r="AF51" i="5"/>
  <c r="AE51" i="5"/>
  <c r="AD51" i="5"/>
  <c r="AC51" i="5"/>
  <c r="AB51" i="5"/>
  <c r="AA51" i="5"/>
  <c r="Z51" i="5"/>
  <c r="Y51" i="5"/>
  <c r="X51" i="5"/>
  <c r="W51" i="5"/>
  <c r="V51" i="5"/>
  <c r="T51" i="5"/>
  <c r="S51" i="5"/>
  <c r="P51" i="5"/>
  <c r="Q51" i="5" s="1"/>
  <c r="O51" i="5"/>
  <c r="N51" i="5"/>
  <c r="M51" i="5"/>
  <c r="L51" i="5"/>
  <c r="J51" i="5"/>
  <c r="K51" i="5" s="1"/>
  <c r="I51" i="5"/>
  <c r="H51" i="5"/>
  <c r="G51" i="5"/>
  <c r="F51" i="5"/>
  <c r="E51" i="5"/>
  <c r="D51" i="5"/>
  <c r="T50" i="5"/>
  <c r="S50" i="5"/>
  <c r="J49" i="5"/>
  <c r="K49" i="5" s="1"/>
  <c r="K50" i="5" s="1"/>
  <c r="H49" i="5"/>
  <c r="I49" i="5" s="1"/>
  <c r="G49" i="5"/>
  <c r="G50" i="5" s="1"/>
  <c r="F49" i="5"/>
  <c r="F50" i="5" s="1"/>
  <c r="T48" i="5"/>
  <c r="S48" i="5"/>
  <c r="G47" i="5"/>
  <c r="G48" i="5" s="1"/>
  <c r="F47" i="5"/>
  <c r="G45" i="5"/>
  <c r="H45" i="5" s="1"/>
  <c r="I45" i="5" s="1"/>
  <c r="J45" i="5" s="1"/>
  <c r="K45" i="5" s="1"/>
  <c r="L45" i="5" s="1"/>
  <c r="M45" i="5" s="1"/>
  <c r="N45" i="5" s="1"/>
  <c r="O45" i="5" s="1"/>
  <c r="P45" i="5" s="1"/>
  <c r="Q45" i="5" s="1"/>
  <c r="F45" i="5"/>
  <c r="AC43" i="5"/>
  <c r="AA43" i="5"/>
  <c r="AM42" i="5"/>
  <c r="AK42" i="5"/>
  <c r="AI42" i="5"/>
  <c r="AC42" i="5"/>
  <c r="AA42" i="5"/>
  <c r="Y42" i="5"/>
  <c r="T39" i="5"/>
  <c r="S39" i="5"/>
  <c r="S37" i="5" s="1"/>
  <c r="S42" i="5" s="1"/>
  <c r="S43" i="5" s="1"/>
  <c r="Q39" i="5"/>
  <c r="P39" i="5"/>
  <c r="P37" i="5" s="1"/>
  <c r="P42" i="5" s="1"/>
  <c r="P43" i="5" s="1"/>
  <c r="O39" i="5"/>
  <c r="N39" i="5"/>
  <c r="N37" i="5" s="1"/>
  <c r="N42" i="5" s="1"/>
  <c r="N43" i="5" s="1"/>
  <c r="M39" i="5"/>
  <c r="L39" i="5"/>
  <c r="L37" i="5" s="1"/>
  <c r="L42" i="5" s="1"/>
  <c r="L43" i="5" s="1"/>
  <c r="K39" i="5"/>
  <c r="J39" i="5"/>
  <c r="J37" i="5" s="1"/>
  <c r="J42" i="5" s="1"/>
  <c r="J43" i="5" s="1"/>
  <c r="I39" i="5"/>
  <c r="H39" i="5"/>
  <c r="H37" i="5" s="1"/>
  <c r="H42" i="5" s="1"/>
  <c r="H43" i="5" s="1"/>
  <c r="G39" i="5"/>
  <c r="F39" i="5"/>
  <c r="F37" i="5" s="1"/>
  <c r="F42" i="5" s="1"/>
  <c r="F43" i="5" s="1"/>
  <c r="E39" i="5"/>
  <c r="D39" i="5"/>
  <c r="D37" i="5" s="1"/>
  <c r="D42" i="5" s="1"/>
  <c r="D43" i="5" s="1"/>
  <c r="AF37" i="5"/>
  <c r="AF42" i="5" s="1"/>
  <c r="AE37" i="5"/>
  <c r="AE43" i="5" s="1"/>
  <c r="AC37" i="5"/>
  <c r="AB37" i="5"/>
  <c r="AB43" i="5" s="1"/>
  <c r="AA37" i="5"/>
  <c r="Z37" i="5"/>
  <c r="Z42" i="5" s="1"/>
  <c r="Y37" i="5"/>
  <c r="T37" i="5"/>
  <c r="T42" i="5" s="1"/>
  <c r="T43" i="5" s="1"/>
  <c r="Q37" i="5"/>
  <c r="Q42" i="5" s="1"/>
  <c r="Q43" i="5" s="1"/>
  <c r="O37" i="5"/>
  <c r="O42" i="5" s="1"/>
  <c r="O43" i="5" s="1"/>
  <c r="M37" i="5"/>
  <c r="M42" i="5" s="1"/>
  <c r="M43" i="5" s="1"/>
  <c r="K37" i="5"/>
  <c r="K42" i="5" s="1"/>
  <c r="K43" i="5" s="1"/>
  <c r="I37" i="5"/>
  <c r="I42" i="5" s="1"/>
  <c r="I43" i="5" s="1"/>
  <c r="G37" i="5"/>
  <c r="G42" i="5" s="1"/>
  <c r="G43" i="5" s="1"/>
  <c r="E37" i="5"/>
  <c r="E42" i="5" s="1"/>
  <c r="E43" i="5" s="1"/>
  <c r="T27" i="5"/>
  <c r="S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AN11" i="5"/>
  <c r="AN42" i="5" s="1"/>
  <c r="AM11" i="5"/>
  <c r="AL11" i="5"/>
  <c r="AL67" i="5" s="1"/>
  <c r="AK11" i="5"/>
  <c r="AJ11" i="5"/>
  <c r="AJ48" i="5" s="1"/>
  <c r="AF11" i="5"/>
  <c r="AF66" i="5" s="1"/>
  <c r="AE11" i="5"/>
  <c r="AD11" i="5"/>
  <c r="AD66" i="5" s="1"/>
  <c r="AC11" i="5"/>
  <c r="AB11" i="5"/>
  <c r="AB66" i="5" s="1"/>
  <c r="AA11" i="5"/>
  <c r="Z11" i="5"/>
  <c r="Z66" i="5" s="1"/>
  <c r="Y11" i="5"/>
  <c r="X11" i="5"/>
  <c r="X48" i="5" s="1"/>
  <c r="W11" i="5"/>
  <c r="V11" i="5"/>
  <c r="V68" i="5" s="1"/>
  <c r="U11" i="5"/>
  <c r="R11" i="5"/>
  <c r="Q11" i="5"/>
  <c r="Q68" i="5" s="1"/>
  <c r="P11" i="5"/>
  <c r="O11" i="5"/>
  <c r="O67" i="5" s="1"/>
  <c r="N11" i="5"/>
  <c r="M11" i="5"/>
  <c r="M68" i="5" s="1"/>
  <c r="L11" i="5"/>
  <c r="L67" i="5" s="1"/>
  <c r="K11" i="5"/>
  <c r="K68" i="5" s="1"/>
  <c r="J11" i="5"/>
  <c r="I11" i="5"/>
  <c r="I66" i="5" s="1"/>
  <c r="H11" i="5"/>
  <c r="G11" i="5"/>
  <c r="G68" i="5" s="1"/>
  <c r="F11" i="5"/>
  <c r="E11" i="5"/>
  <c r="D11" i="5"/>
  <c r="D67" i="5" s="1"/>
  <c r="AG42" i="5" l="1"/>
  <c r="F68" i="5"/>
  <c r="F67" i="5"/>
  <c r="H68" i="5"/>
  <c r="H67" i="5"/>
  <c r="H66" i="5"/>
  <c r="J68" i="5"/>
  <c r="J67" i="5"/>
  <c r="J66" i="5"/>
  <c r="N68" i="5"/>
  <c r="N67" i="5"/>
  <c r="N66" i="5"/>
  <c r="P68" i="5"/>
  <c r="P67" i="5"/>
  <c r="P66" i="5"/>
  <c r="AE42" i="5"/>
  <c r="AF43" i="5"/>
  <c r="F48" i="5"/>
  <c r="V48" i="5"/>
  <c r="Z48" i="5"/>
  <c r="AD48" i="5"/>
  <c r="AH48" i="5"/>
  <c r="AL48" i="5"/>
  <c r="D50" i="5"/>
  <c r="H50" i="5"/>
  <c r="X50" i="5"/>
  <c r="AB50" i="5"/>
  <c r="AF50" i="5"/>
  <c r="AJ50" i="5"/>
  <c r="X67" i="5"/>
  <c r="AB67" i="5"/>
  <c r="AJ67" i="5"/>
  <c r="AB68" i="5"/>
  <c r="AF68" i="5"/>
  <c r="E66" i="5"/>
  <c r="E50" i="5"/>
  <c r="E48" i="5"/>
  <c r="U67" i="5"/>
  <c r="U66" i="5"/>
  <c r="W67" i="5"/>
  <c r="W66" i="5"/>
  <c r="W50" i="5"/>
  <c r="W48" i="5"/>
  <c r="Y68" i="5"/>
  <c r="Y67" i="5"/>
  <c r="Y50" i="5"/>
  <c r="Y48" i="5"/>
  <c r="AA68" i="5"/>
  <c r="AA67" i="5"/>
  <c r="AA50" i="5"/>
  <c r="AA48" i="5"/>
  <c r="AC68" i="5"/>
  <c r="AC67" i="5"/>
  <c r="AC50" i="5"/>
  <c r="AC48" i="5"/>
  <c r="AE68" i="5"/>
  <c r="AE67" i="5"/>
  <c r="AE50" i="5"/>
  <c r="AE48" i="5"/>
  <c r="AG50" i="5"/>
  <c r="AG48" i="5"/>
  <c r="AI50" i="5"/>
  <c r="AI48" i="5"/>
  <c r="AK67" i="5"/>
  <c r="AK50" i="5"/>
  <c r="AK48" i="5"/>
  <c r="AM67" i="5"/>
  <c r="AM50" i="5"/>
  <c r="AM48" i="5"/>
  <c r="AB42" i="5"/>
  <c r="AD42" i="5"/>
  <c r="AH42" i="5"/>
  <c r="AJ42" i="5"/>
  <c r="AL42" i="5"/>
  <c r="H47" i="5"/>
  <c r="D48" i="5"/>
  <c r="AB48" i="5"/>
  <c r="AF48" i="5"/>
  <c r="I50" i="5"/>
  <c r="L49" i="5"/>
  <c r="J50" i="5"/>
  <c r="V50" i="5"/>
  <c r="Z50" i="5"/>
  <c r="AD50" i="5"/>
  <c r="AH50" i="5"/>
  <c r="AL50" i="5"/>
  <c r="O66" i="5"/>
  <c r="V66" i="5"/>
  <c r="AA66" i="5"/>
  <c r="AE66" i="5"/>
  <c r="G67" i="5"/>
  <c r="K67" i="5"/>
  <c r="V67" i="5"/>
  <c r="Z67" i="5"/>
  <c r="AD67" i="5"/>
  <c r="U68" i="5"/>
  <c r="Z68" i="5"/>
  <c r="AD68" i="5"/>
  <c r="H48" i="5" l="1"/>
  <c r="I47" i="5"/>
  <c r="M49" i="5"/>
  <c r="L50" i="5"/>
  <c r="M50" i="5" l="1"/>
  <c r="N49" i="5"/>
  <c r="I48" i="5"/>
  <c r="J47" i="5"/>
  <c r="K47" i="5" l="1"/>
  <c r="J48" i="5"/>
  <c r="O49" i="5"/>
  <c r="N50" i="5"/>
  <c r="O50" i="5" l="1"/>
  <c r="P49" i="5"/>
  <c r="K48" i="5"/>
  <c r="L47" i="5"/>
  <c r="F63" i="14"/>
  <c r="D10" i="14"/>
  <c r="F49" i="14"/>
  <c r="F10" i="14"/>
  <c r="F48" i="14" s="1"/>
  <c r="F70" i="14"/>
  <c r="F69" i="14"/>
  <c r="F68" i="14"/>
  <c r="F57" i="14"/>
  <c r="E54" i="14"/>
  <c r="F53" i="14"/>
  <c r="F52" i="14"/>
  <c r="F54" i="14"/>
  <c r="D50" i="14"/>
  <c r="D49" i="14"/>
  <c r="E37" i="14"/>
  <c r="E35" i="14"/>
  <c r="E40" i="14" s="1"/>
  <c r="E10" i="14"/>
  <c r="E41" i="14"/>
  <c r="F35" i="14"/>
  <c r="D35" i="14"/>
  <c r="D41" i="14" s="1"/>
  <c r="F25" i="14"/>
  <c r="E25" i="14"/>
  <c r="D25" i="14"/>
  <c r="E48" i="14"/>
  <c r="D46" i="14"/>
  <c r="D48" i="14"/>
  <c r="E46" i="14"/>
  <c r="F41" i="14" l="1"/>
  <c r="F65" i="14"/>
  <c r="F66" i="14"/>
  <c r="F46" i="14"/>
  <c r="D40" i="14"/>
  <c r="F40" i="14"/>
  <c r="M47" i="5"/>
  <c r="L48" i="5"/>
  <c r="Q49" i="5"/>
  <c r="Q50" i="5" s="1"/>
  <c r="P50" i="5"/>
  <c r="M48" i="5" l="1"/>
  <c r="N47" i="5"/>
  <c r="O47" i="5" l="1"/>
  <c r="N48" i="5"/>
  <c r="O48" i="5" l="1"/>
  <c r="P47" i="5"/>
  <c r="Q47" i="5" l="1"/>
  <c r="Q48" i="5" s="1"/>
  <c r="P48" i="5"/>
</calcChain>
</file>

<file path=xl/sharedStrings.xml><?xml version="1.0" encoding="utf-8"?>
<sst xmlns="http://schemas.openxmlformats.org/spreadsheetml/2006/main" count="333" uniqueCount="151">
  <si>
    <t>So sánh</t>
  </si>
  <si>
    <t>Nguyên nhân các chỉ tiêu đạt thấp so với cùng kỳ năm trước, hoặc thấp so với KH và dự kiến không đạt kế hoạch</t>
  </si>
  <si>
    <t>Ghi chú</t>
  </si>
  <si>
    <t>Kế hoạch</t>
  </si>
  <si>
    <t>Ước TH cả năm</t>
  </si>
  <si>
    <t>A</t>
  </si>
  <si>
    <t>B</t>
  </si>
  <si>
    <t>C</t>
  </si>
  <si>
    <t>STT</t>
  </si>
  <si>
    <t xml:space="preserve">Chỉ tiêu </t>
  </si>
  <si>
    <t xml:space="preserve">Đơn vị tính </t>
  </si>
  <si>
    <t>I</t>
  </si>
  <si>
    <t>Dân số-Kế hoạch hóa gia đình</t>
  </si>
  <si>
    <t>Phát triển sự nghiệp y tế</t>
  </si>
  <si>
    <t xml:space="preserve">Ước TH 3,6,9 tháng năm 2019/TH 3,6,9 tháng năm trước </t>
  </si>
  <si>
    <t>Lũy kế 11 tháng</t>
  </si>
  <si>
    <t xml:space="preserve">Ghi chú: báo cáo các chỉ tiêu dựa trên Quyết định của Sở Y tế giao hàng năm </t>
  </si>
  <si>
    <t xml:space="preserve">CÁC CHỈ TIÊU THỰC HIỆN TRONG BÁO CÁO THÁNG </t>
  </si>
  <si>
    <t>Tháng 1</t>
  </si>
  <si>
    <t>Lũy kế 2 tháng</t>
  </si>
  <si>
    <t>Tháng 3</t>
  </si>
  <si>
    <t>Tháng 2</t>
  </si>
  <si>
    <t>Lũy kế 3 tháng</t>
  </si>
  <si>
    <t>Tháng 4</t>
  </si>
  <si>
    <t>Lũy kế 4 tháng</t>
  </si>
  <si>
    <t>Tháng 5</t>
  </si>
  <si>
    <t>Lũy kế 5 tháng</t>
  </si>
  <si>
    <t>Tháng 6</t>
  </si>
  <si>
    <t>Lũy kế 6 tháng</t>
  </si>
  <si>
    <t>Tháng 7</t>
  </si>
  <si>
    <t>Tháng 8</t>
  </si>
  <si>
    <t>Tháng 9</t>
  </si>
  <si>
    <t>Tháng 10</t>
  </si>
  <si>
    <t>Tháng 11</t>
  </si>
  <si>
    <t>Tháng 12</t>
  </si>
  <si>
    <t>Lũy kế 7 tháng</t>
  </si>
  <si>
    <t>Lũy kế 8 tháng</t>
  </si>
  <si>
    <t>Lũy kế 9 tháng</t>
  </si>
  <si>
    <t>Lũy kế 10 tháng</t>
  </si>
  <si>
    <t>Lũy kế 12 tháng</t>
  </si>
  <si>
    <t xml:space="preserve">Năm trước </t>
  </si>
  <si>
    <t>Trong tháng</t>
  </si>
  <si>
    <t>Biểu số 1</t>
  </si>
  <si>
    <t xml:space="preserve">  Dân số </t>
  </si>
  <si>
    <t xml:space="preserve"> - Dân số trung bình</t>
  </si>
  <si>
    <t xml:space="preserve"> Trong đó :  </t>
  </si>
  <si>
    <t xml:space="preserve">                + Dân số thành thị</t>
  </si>
  <si>
    <t xml:space="preserve">                + Dân số nông thôn</t>
  </si>
  <si>
    <t xml:space="preserve"> - Dân số là dân tộc thiểu số </t>
  </si>
  <si>
    <t xml:space="preserve"> - Tỷ lệ tăng dân số</t>
  </si>
  <si>
    <t xml:space="preserve"> - Tỷ lệ giảm sinh</t>
  </si>
  <si>
    <t xml:space="preserve"> - Tỷ lệ tăng dân số tự nhiên</t>
  </si>
  <si>
    <t xml:space="preserve"> - Tỷ số giới tính khi sinh (số bé trai so với 100 bé gái)</t>
  </si>
  <si>
    <t xml:space="preserve"> Kế hoạch hoá gia đình</t>
  </si>
  <si>
    <t xml:space="preserve">  - Tỷ lệ các cặp vợ chồng thực hiện các biện pháp tránh thai</t>
  </si>
  <si>
    <t xml:space="preserve"> - Tỷ lệ các bà mẹ sinh con thứ 3 trở lên so với tổng số bà mẹ sinh con trong năm</t>
  </si>
  <si>
    <t>Người</t>
  </si>
  <si>
    <t>%</t>
  </si>
  <si>
    <r>
      <t>%</t>
    </r>
    <r>
      <rPr>
        <i/>
        <sz val="8"/>
        <color theme="1"/>
        <rFont val="Times New Roman"/>
        <family val="1"/>
      </rPr>
      <t>o</t>
    </r>
  </si>
  <si>
    <t>%o</t>
  </si>
  <si>
    <t>Cơ sở y tế và giường bệnh</t>
  </si>
  <si>
    <r>
      <t xml:space="preserve">Số cơ sở y tế quốc lập </t>
    </r>
    <r>
      <rPr>
        <vertAlign val="superscript"/>
        <sz val="8"/>
        <color theme="1"/>
        <rFont val="Times New Roman"/>
        <family val="1"/>
      </rPr>
      <t>(*)</t>
    </r>
  </si>
  <si>
    <t>cơ sở</t>
  </si>
  <si>
    <t>- Bệnh viện đa khoa tỉnh</t>
  </si>
  <si>
    <t>BV</t>
  </si>
  <si>
    <t>- Bệnh viện chuyên khoa</t>
  </si>
  <si>
    <t>TT</t>
  </si>
  <si>
    <t xml:space="preserve"> - Phòng khám đa khoa khu vực</t>
  </si>
  <si>
    <t>PK</t>
  </si>
  <si>
    <t xml:space="preserve"> - Trạm y tế xã/phường/thị trấn</t>
  </si>
  <si>
    <t>Trạm</t>
  </si>
  <si>
    <t>Cơ sở y tế tư nhân</t>
  </si>
  <si>
    <t>Tổng số giường bệnh quốc lập toàn tỉnh</t>
  </si>
  <si>
    <t>Giường</t>
  </si>
  <si>
    <t>- Giường bệnh tuyến tỉnh</t>
  </si>
  <si>
    <t>- Giường bệnh tuyến huyện</t>
  </si>
  <si>
    <t>+ Giường bệnh tại Bệnh viện/Trung tâm y tế huyện</t>
  </si>
  <si>
    <t>Số giường bệnh/10.000 dân (không tính giường trạm y tế xã)</t>
  </si>
  <si>
    <t>Trong đó : Số giường bệnh quốc lập/ 1 vạn dân</t>
  </si>
  <si>
    <t xml:space="preserve"> Giường </t>
  </si>
  <si>
    <t>II</t>
  </si>
  <si>
    <t>Nhân lực y tế</t>
  </si>
  <si>
    <t>Tổng số cán bộ toàn ngành</t>
  </si>
  <si>
    <t xml:space="preserve">Trong đó: </t>
  </si>
  <si>
    <t>1.1</t>
  </si>
  <si>
    <t>Bác sỹ</t>
  </si>
  <si>
    <t>Số bác sỹ/vạn dân</t>
  </si>
  <si>
    <t>1/10,000</t>
  </si>
  <si>
    <t>1.2</t>
  </si>
  <si>
    <t>Dược sỹ đại học</t>
  </si>
  <si>
    <t>Tỷ lệ dược sỹ/vạn dân</t>
  </si>
  <si>
    <t>Tỷ lệ Trạm y tế xã, phường, thị trấn có bác sỹ (biên chế tại trạm)</t>
  </si>
  <si>
    <t>Tỷ lệ thôn, bản có nhân viên y tế thôn bản hoạt động</t>
  </si>
  <si>
    <t>III</t>
  </si>
  <si>
    <t>Một số chỉ tiêu tổng hợp</t>
  </si>
  <si>
    <t xml:space="preserve"> Số xã đạt tiêu chí quốc gia về y tế xã</t>
  </si>
  <si>
    <t>Xã</t>
  </si>
  <si>
    <t>Trong đó: Số được công nhận mới trong năm</t>
  </si>
  <si>
    <t xml:space="preserve"> Tỷ lệ xã đạt tiêu chí quốc gia về y tế xã</t>
  </si>
  <si>
    <t xml:space="preserve"> Tỷ suất tử vong trẻ em &lt;1 tuổi trên 1.000 trẻ đẻ sống </t>
  </si>
  <si>
    <t xml:space="preserve"> %o </t>
  </si>
  <si>
    <t xml:space="preserve"> Tỷ suất tử vong trẻ em &lt;5 tuổi trên 1.000 trẻ đẻ sống </t>
  </si>
  <si>
    <t xml:space="preserve"> Tỷ lệ trẻ em dưới 5 tuổi bị suy dinh dưỡng (cân nặng theo tuổi) </t>
  </si>
  <si>
    <t xml:space="preserve"> % </t>
  </si>
  <si>
    <t xml:space="preserve"> Tỷ suất chết của người mẹ trong thời gian thai sản trên 100.000 trẻ đẻ sống </t>
  </si>
  <si>
    <t>1/1000,000</t>
  </si>
  <si>
    <t xml:space="preserve"> Tỷ lệ TE &lt; 1 tuổi được tiêm chủng đẩy đủ các loại Vacxin</t>
  </si>
  <si>
    <t>Tỷ lệ phụ nữ đẻ được khám thai</t>
  </si>
  <si>
    <t>Tỷ lệ phụ nữ đẻ được cán bộ y tế đỡ</t>
  </si>
  <si>
    <t>Tỷ suất mắc các bệnh xã hội</t>
  </si>
  <si>
    <t xml:space="preserve"> - Sốt rét</t>
  </si>
  <si>
    <t xml:space="preserve"> - Lao</t>
  </si>
  <si>
    <t>1/100.000</t>
  </si>
  <si>
    <t xml:space="preserve"> - HIV/ AIDS</t>
  </si>
  <si>
    <t>Tỷ lệ bao phủ bảo hiểm y tế</t>
  </si>
  <si>
    <t xml:space="preserve"> - Điều trị thay thế các chất dạng thuốc phiện bằng thuốc Methadone</t>
  </si>
  <si>
    <t>Lượt Người</t>
  </si>
  <si>
    <t xml:space="preserve">A </t>
  </si>
  <si>
    <t xml:space="preserve">Dân số </t>
  </si>
  <si>
    <t>+ Giường Phòng khám đa khoa khu vực</t>
  </si>
  <si>
    <t>- Cơ sở 2 huyện Sìn Hồ</t>
  </si>
  <si>
    <t>- Trung tâm KSBT tỉnh</t>
  </si>
  <si>
    <t xml:space="preserve"> - Trung tâm y tế huyện/thành phố</t>
  </si>
  <si>
    <t>1/100000</t>
  </si>
  <si>
    <t>số này ko ước</t>
  </si>
  <si>
    <t>- Tuổi thọ trung bình</t>
  </si>
  <si>
    <t>Tuổi</t>
  </si>
  <si>
    <t>Tỷ lệ dân số được quản lý bằng hồ sơ sức khỏe điện tử</t>
  </si>
  <si>
    <t>Tỷ lệ hài lòng của người dân với dịch vụ y tế</t>
  </si>
  <si>
    <t>Chỉ số này 6 tháng mới thực hiện cân đo/ lần</t>
  </si>
  <si>
    <t>trong tháng</t>
  </si>
  <si>
    <t>(Kèm theo báo cáo số               /BC-SYT ngày        tháng   năm 2022 của Sở Y tế Lai Châu)</t>
  </si>
  <si>
    <t>- Dân số là Dân tộc thiểu số</t>
  </si>
  <si>
    <t>Chỉ số này tháng 12 đánh giá</t>
  </si>
  <si>
    <t xml:space="preserve">Đang triển khai thực hiện </t>
  </si>
  <si>
    <t>Tỷ lệ trạm y tế xã được xây dựng kiên cố</t>
  </si>
  <si>
    <t>Không ước</t>
  </si>
  <si>
    <t>Năm 2022</t>
  </si>
  <si>
    <t>Ước TH 3,6,9 tháng năm 2022/KH năm 2022</t>
  </si>
  <si>
    <t>tuổi</t>
  </si>
  <si>
    <t>Phụ cấp cho đối tượng này thấp nên không thu hút được mọi người tham gia, việc tuyển chọn các đối tượng cho đi học y tế thôn bản gặp nhiều khó khăn họ không đi.</t>
  </si>
  <si>
    <t xml:space="preserve"> Tỷ lệ trẻ em dưới 5 tuổi bị suy dinh dưỡng (cao theo tuổi) </t>
  </si>
  <si>
    <t>Năm trước</t>
  </si>
  <si>
    <r>
      <t>%</t>
    </r>
    <r>
      <rPr>
        <i/>
        <sz val="8"/>
        <rFont val="Times New Roman"/>
        <family val="1"/>
      </rPr>
      <t>o</t>
    </r>
  </si>
  <si>
    <r>
      <t xml:space="preserve">Số cơ sở y tế quốc lập </t>
    </r>
    <r>
      <rPr>
        <vertAlign val="superscript"/>
        <sz val="8"/>
        <rFont val="Times New Roman"/>
        <family val="1"/>
      </rPr>
      <t>(*)</t>
    </r>
  </si>
  <si>
    <t>KH năm 2023</t>
  </si>
  <si>
    <t>Ko đạt chỉ tiêu do thiếu vắc xin từ Trung ương</t>
  </si>
  <si>
    <t xml:space="preserve">Không đạt do được sự hỗ trợ từ Trung ương khám sàng lọc do đó phát hiện được các thể chưa có biểu hiện bệnh </t>
  </si>
  <si>
    <t>(Kèm theo báo cáo số               /BC-SYT ngày        tháng 01 năm 2023 của Sở Y tế Lai Châu)</t>
  </si>
  <si>
    <t>Biểu số 01</t>
  </si>
  <si>
    <t>CÁC CHỈ TIÊU THỰC HIỆN TRONG TRONG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</si>
</sst>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0.0"/>
    <numFmt numFmtId="166" formatCode="_-* #,##0\ _₫_-;\-* #,##0\ _₫_-;_-* &quot;-&quot;??\ _₫_-;_-@_-"/>
    <numFmt numFmtId="167" formatCode="_-* #,##0.0\ _₫_-;\-* #,##0.0\ _₫_-;_-* &quot;-&quot;??\ _₫_-;_-@_-"/>
    <numFmt numFmtId="168" formatCode="0.000"/>
    <numFmt numFmtId="169" formatCode="_(* #,##0.0_);_(* \(#,##0.0\);_(* &quot;-&quot;??_);_(@_)"/>
  </numFmts>
  <fonts count="34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2"/>
      <name val=".VnTim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  <charset val="163"/>
    </font>
    <font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1"/>
      <name val="Times New Roman"/>
      <family val="1"/>
      <charset val="163"/>
    </font>
    <font>
      <i/>
      <sz val="10"/>
      <name val="Times New Roman"/>
      <family val="1"/>
      <charset val="163"/>
    </font>
    <font>
      <sz val="10"/>
      <name val="Arial"/>
      <family val="2"/>
      <charset val="163"/>
    </font>
    <font>
      <i/>
      <sz val="12"/>
      <name val="Times New Roman"/>
      <family val="1"/>
    </font>
    <font>
      <b/>
      <sz val="8"/>
      <name val="Times New Roman"/>
      <family val="1"/>
      <charset val="163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10"/>
      <color theme="1"/>
      <name val="Times New Roman"/>
      <family val="1"/>
      <charset val="163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Calibri"/>
      <family val="2"/>
      <charset val="163"/>
      <scheme val="minor"/>
    </font>
    <font>
      <i/>
      <sz val="12"/>
      <name val="Times New Roman"/>
      <family val="1"/>
      <charset val="163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  <charset val="163"/>
    </font>
    <font>
      <i/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" fontId="2" fillId="0" borderId="0"/>
    <xf numFmtId="0" fontId="2" fillId="0" borderId="0"/>
    <xf numFmtId="164" fontId="1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288">
    <xf numFmtId="0" fontId="0" fillId="0" borderId="0" xfId="0"/>
    <xf numFmtId="0" fontId="3" fillId="2" borderId="0" xfId="0" applyFont="1" applyFill="1"/>
    <xf numFmtId="1" fontId="8" fillId="2" borderId="0" xfId="3" applyFont="1" applyFill="1"/>
    <xf numFmtId="0" fontId="8" fillId="2" borderId="0" xfId="1" applyNumberFormat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1" applyNumberFormat="1" applyFont="1" applyFill="1"/>
    <xf numFmtId="1" fontId="6" fillId="2" borderId="0" xfId="3" applyFont="1" applyFill="1"/>
    <xf numFmtId="0" fontId="10" fillId="2" borderId="0" xfId="0" applyFont="1" applyFill="1"/>
    <xf numFmtId="0" fontId="10" fillId="2" borderId="1" xfId="4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0" fontId="15" fillId="2" borderId="1" xfId="1" applyNumberFormat="1" applyFont="1" applyFill="1" applyBorder="1" applyAlignment="1">
      <alignment horizontal="center"/>
    </xf>
    <xf numFmtId="0" fontId="12" fillId="2" borderId="4" xfId="4" applyFont="1" applyFill="1" applyBorder="1" applyAlignment="1">
      <alignment horizontal="center"/>
    </xf>
    <xf numFmtId="164" fontId="10" fillId="2" borderId="0" xfId="0" applyNumberFormat="1" applyFont="1" applyFill="1"/>
    <xf numFmtId="0" fontId="12" fillId="2" borderId="1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6" xfId="4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vertical="center" wrapText="1"/>
    </xf>
    <xf numFmtId="0" fontId="6" fillId="2" borderId="7" xfId="4" applyFont="1" applyFill="1" applyBorder="1" applyAlignment="1">
      <alignment vertical="center" wrapText="1"/>
    </xf>
    <xf numFmtId="0" fontId="10" fillId="2" borderId="0" xfId="1" applyNumberFormat="1" applyFont="1" applyFill="1"/>
    <xf numFmtId="0" fontId="10" fillId="2" borderId="0" xfId="1" applyNumberFormat="1" applyFont="1" applyFill="1" applyAlignment="1">
      <alignment horizontal="center"/>
    </xf>
    <xf numFmtId="0" fontId="15" fillId="2" borderId="0" xfId="1" applyNumberFormat="1" applyFont="1" applyFill="1"/>
    <xf numFmtId="0" fontId="8" fillId="2" borderId="0" xfId="0" applyFont="1" applyFill="1"/>
    <xf numFmtId="0" fontId="18" fillId="2" borderId="1" xfId="4" applyFont="1" applyFill="1" applyBorder="1" applyAlignment="1">
      <alignment horizontal="center" vertical="center" wrapText="1"/>
    </xf>
    <xf numFmtId="0" fontId="10" fillId="2" borderId="18" xfId="4" applyFont="1" applyFill="1" applyBorder="1" applyAlignment="1">
      <alignment horizontal="center" vertical="center" wrapText="1"/>
    </xf>
    <xf numFmtId="0" fontId="12" fillId="2" borderId="18" xfId="4" applyFont="1" applyFill="1" applyBorder="1" applyAlignment="1">
      <alignment horizontal="center" vertical="center" wrapText="1"/>
    </xf>
    <xf numFmtId="0" fontId="6" fillId="2" borderId="16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21" fillId="3" borderId="6" xfId="0" applyFont="1" applyFill="1" applyBorder="1"/>
    <xf numFmtId="0" fontId="21" fillId="0" borderId="6" xfId="0" applyFont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/>
    </xf>
    <xf numFmtId="164" fontId="10" fillId="2" borderId="7" xfId="4" applyNumberFormat="1" applyFont="1" applyFill="1" applyBorder="1" applyAlignment="1">
      <alignment horizontal="center" vertical="center" wrapText="1"/>
    </xf>
    <xf numFmtId="166" fontId="10" fillId="2" borderId="7" xfId="1" applyNumberFormat="1" applyFont="1" applyFill="1" applyBorder="1" applyAlignment="1">
      <alignment horizontal="center" vertical="center" wrapText="1"/>
    </xf>
    <xf numFmtId="164" fontId="10" fillId="2" borderId="6" xfId="1" applyFont="1" applyFill="1" applyBorder="1" applyAlignment="1">
      <alignment vertical="center" wrapText="1"/>
    </xf>
    <xf numFmtId="166" fontId="10" fillId="2" borderId="6" xfId="1" applyNumberFormat="1" applyFont="1" applyFill="1" applyBorder="1" applyAlignment="1">
      <alignment horizontal="center" vertical="center" wrapText="1"/>
    </xf>
    <xf numFmtId="165" fontId="11" fillId="2" borderId="0" xfId="3" applyNumberFormat="1" applyFont="1" applyFill="1" applyBorder="1" applyAlignment="1">
      <alignment wrapText="1"/>
    </xf>
    <xf numFmtId="1" fontId="17" fillId="2" borderId="10" xfId="3" applyFont="1" applyFill="1" applyBorder="1" applyAlignment="1"/>
    <xf numFmtId="0" fontId="10" fillId="2" borderId="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vertical="center" wrapText="1"/>
    </xf>
    <xf numFmtId="0" fontId="10" fillId="2" borderId="0" xfId="0" applyFont="1" applyFill="1" applyBorder="1"/>
    <xf numFmtId="0" fontId="10" fillId="2" borderId="0" xfId="0" applyFont="1" applyFill="1" applyAlignment="1">
      <alignment vertical="center"/>
    </xf>
    <xf numFmtId="2" fontId="26" fillId="0" borderId="6" xfId="4" applyNumberFormat="1" applyFont="1" applyFill="1" applyBorder="1" applyAlignment="1">
      <alignment horizontal="center" vertical="center" wrapText="1"/>
    </xf>
    <xf numFmtId="43" fontId="25" fillId="0" borderId="6" xfId="1" applyNumberFormat="1" applyFont="1" applyFill="1" applyBorder="1" applyAlignment="1">
      <alignment horizontal="center" vertical="center"/>
    </xf>
    <xf numFmtId="2" fontId="3" fillId="0" borderId="6" xfId="4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vertical="center" wrapText="1"/>
    </xf>
    <xf numFmtId="2" fontId="26" fillId="0" borderId="4" xfId="4" applyNumberFormat="1" applyFont="1" applyFill="1" applyBorder="1" applyAlignment="1">
      <alignment horizontal="center" vertical="center" wrapText="1"/>
    </xf>
    <xf numFmtId="0" fontId="10" fillId="2" borderId="23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10" fillId="2" borderId="8" xfId="4" applyFont="1" applyFill="1" applyBorder="1" applyAlignment="1">
      <alignment horizontal="center" vertical="center" wrapText="1"/>
    </xf>
    <xf numFmtId="164" fontId="3" fillId="2" borderId="19" xfId="1" applyFont="1" applyFill="1" applyBorder="1" applyAlignment="1">
      <alignment horizontal="center" vertical="center" wrapText="1"/>
    </xf>
    <xf numFmtId="2" fontId="4" fillId="2" borderId="18" xfId="4" applyNumberFormat="1" applyFont="1" applyFill="1" applyBorder="1" applyAlignment="1">
      <alignment horizontal="center" vertical="center" wrapText="1"/>
    </xf>
    <xf numFmtId="164" fontId="3" fillId="2" borderId="7" xfId="1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 wrapText="1"/>
    </xf>
    <xf numFmtId="0" fontId="10" fillId="2" borderId="19" xfId="4" applyFont="1" applyFill="1" applyBorder="1" applyAlignment="1">
      <alignment horizontal="center" vertical="center" wrapText="1"/>
    </xf>
    <xf numFmtId="166" fontId="3" fillId="2" borderId="18" xfId="1" applyNumberFormat="1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164" fontId="10" fillId="2" borderId="16" xfId="1" applyFont="1" applyFill="1" applyBorder="1" applyAlignment="1">
      <alignment vertical="center" wrapText="1"/>
    </xf>
    <xf numFmtId="164" fontId="10" fillId="2" borderId="7" xfId="1" applyFont="1" applyFill="1" applyBorder="1" applyAlignment="1">
      <alignment vertical="center" wrapText="1"/>
    </xf>
    <xf numFmtId="2" fontId="15" fillId="0" borderId="6" xfId="4" applyNumberFormat="1" applyFont="1" applyFill="1" applyBorder="1" applyAlignment="1">
      <alignment horizontal="center" vertical="center" wrapText="1"/>
    </xf>
    <xf numFmtId="164" fontId="10" fillId="0" borderId="22" xfId="1" applyFont="1" applyFill="1" applyBorder="1" applyAlignment="1">
      <alignment horizontal="center" vertical="center" wrapText="1"/>
    </xf>
    <xf numFmtId="2" fontId="10" fillId="0" borderId="6" xfId="4" applyNumberFormat="1" applyFont="1" applyFill="1" applyBorder="1" applyAlignment="1">
      <alignment horizontal="center" vertical="center" wrapText="1"/>
    </xf>
    <xf numFmtId="2" fontId="10" fillId="0" borderId="18" xfId="4" applyNumberFormat="1" applyFont="1" applyFill="1" applyBorder="1" applyAlignment="1">
      <alignment horizontal="center" vertical="center" wrapText="1"/>
    </xf>
    <xf numFmtId="2" fontId="15" fillId="2" borderId="18" xfId="4" applyNumberFormat="1" applyFont="1" applyFill="1" applyBorder="1" applyAlignment="1">
      <alignment horizontal="center" vertical="center" wrapText="1"/>
    </xf>
    <xf numFmtId="2" fontId="10" fillId="0" borderId="6" xfId="4" applyNumberFormat="1" applyFont="1" applyFill="1" applyBorder="1" applyAlignment="1">
      <alignment vertical="center" wrapText="1"/>
    </xf>
    <xf numFmtId="164" fontId="10" fillId="0" borderId="6" xfId="1" applyFont="1" applyFill="1" applyBorder="1" applyAlignment="1">
      <alignment vertical="center" wrapText="1"/>
    </xf>
    <xf numFmtId="2" fontId="25" fillId="0" borderId="6" xfId="4" applyNumberFormat="1" applyFont="1" applyFill="1" applyBorder="1" applyAlignment="1">
      <alignment horizontal="center" vertical="center" wrapText="1"/>
    </xf>
    <xf numFmtId="2" fontId="10" fillId="0" borderId="4" xfId="4" applyNumberFormat="1" applyFont="1" applyFill="1" applyBorder="1" applyAlignment="1">
      <alignment vertical="center" wrapText="1"/>
    </xf>
    <xf numFmtId="164" fontId="10" fillId="0" borderId="4" xfId="1" applyFont="1" applyFill="1" applyBorder="1" applyAlignment="1">
      <alignment vertical="center" wrapText="1"/>
    </xf>
    <xf numFmtId="164" fontId="10" fillId="0" borderId="7" xfId="1" applyFont="1" applyFill="1" applyBorder="1" applyAlignment="1">
      <alignment vertical="center" wrapText="1"/>
    </xf>
    <xf numFmtId="164" fontId="27" fillId="0" borderId="6" xfId="1" applyFont="1" applyFill="1" applyBorder="1"/>
    <xf numFmtId="164" fontId="27" fillId="0" borderId="6" xfId="1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2" fontId="10" fillId="0" borderId="6" xfId="0" applyNumberFormat="1" applyFont="1" applyFill="1" applyBorder="1"/>
    <xf numFmtId="164" fontId="10" fillId="0" borderId="18" xfId="1" applyFont="1" applyFill="1" applyBorder="1" applyAlignment="1">
      <alignment vertical="center" wrapText="1"/>
    </xf>
    <xf numFmtId="1" fontId="8" fillId="0" borderId="0" xfId="3" applyFont="1" applyFill="1"/>
    <xf numFmtId="1" fontId="17" fillId="0" borderId="10" xfId="3" applyFont="1" applyFill="1" applyBorder="1" applyAlignment="1"/>
    <xf numFmtId="0" fontId="10" fillId="0" borderId="1" xfId="4" applyFont="1" applyFill="1" applyBorder="1" applyAlignment="1">
      <alignment horizontal="center"/>
    </xf>
    <xf numFmtId="0" fontId="12" fillId="0" borderId="4" xfId="4" applyFont="1" applyFill="1" applyBorder="1" applyAlignment="1">
      <alignment horizontal="center"/>
    </xf>
    <xf numFmtId="0" fontId="10" fillId="0" borderId="5" xfId="4" applyFont="1" applyFill="1" applyBorder="1" applyAlignment="1">
      <alignment horizontal="center" vertical="center" wrapText="1"/>
    </xf>
    <xf numFmtId="166" fontId="10" fillId="0" borderId="6" xfId="1" applyNumberFormat="1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0" fontId="10" fillId="0" borderId="18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164" fontId="10" fillId="0" borderId="7" xfId="4" applyNumberFormat="1" applyFont="1" applyFill="1" applyBorder="1" applyAlignment="1">
      <alignment vertical="center" wrapText="1"/>
    </xf>
    <xf numFmtId="166" fontId="10" fillId="0" borderId="6" xfId="1" applyNumberFormat="1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164" fontId="10" fillId="0" borderId="16" xfId="1" applyFont="1" applyFill="1" applyBorder="1" applyAlignment="1">
      <alignment vertical="center" wrapText="1"/>
    </xf>
    <xf numFmtId="166" fontId="10" fillId="0" borderId="7" xfId="1" applyNumberFormat="1" applyFont="1" applyFill="1" applyBorder="1" applyAlignment="1">
      <alignment vertical="center" wrapText="1"/>
    </xf>
    <xf numFmtId="164" fontId="10" fillId="0" borderId="19" xfId="1" applyFont="1" applyFill="1" applyBorder="1" applyAlignment="1">
      <alignment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66" fontId="10" fillId="0" borderId="7" xfId="1" applyNumberFormat="1" applyFont="1" applyFill="1" applyBorder="1" applyAlignment="1">
      <alignment horizontal="right" vertical="center" wrapText="1"/>
    </xf>
    <xf numFmtId="0" fontId="10" fillId="0" borderId="7" xfId="4" applyFont="1" applyFill="1" applyBorder="1" applyAlignment="1">
      <alignment horizontal="right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17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 wrapText="1"/>
    </xf>
    <xf numFmtId="1" fontId="17" fillId="2" borderId="10" xfId="3" applyFont="1" applyFill="1" applyBorder="1" applyAlignment="1">
      <alignment horizont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vertical="center" wrapText="1"/>
    </xf>
    <xf numFmtId="164" fontId="10" fillId="0" borderId="18" xfId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wrapText="1"/>
    </xf>
    <xf numFmtId="166" fontId="3" fillId="2" borderId="1" xfId="1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 wrapText="1"/>
    </xf>
    <xf numFmtId="164" fontId="10" fillId="2" borderId="7" xfId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center" vertical="center" wrapText="1"/>
    </xf>
    <xf numFmtId="164" fontId="10" fillId="0" borderId="19" xfId="1" applyFont="1" applyFill="1" applyBorder="1" applyAlignment="1">
      <alignment horizontal="right" vertical="center" wrapText="1"/>
    </xf>
    <xf numFmtId="2" fontId="3" fillId="0" borderId="7" xfId="4" applyNumberFormat="1" applyFont="1" applyFill="1" applyBorder="1" applyAlignment="1">
      <alignment horizontal="center" vertical="center" wrapText="1"/>
    </xf>
    <xf numFmtId="2" fontId="3" fillId="0" borderId="19" xfId="4" applyNumberFormat="1" applyFont="1" applyFill="1" applyBorder="1" applyAlignment="1">
      <alignment horizontal="center" vertical="center" wrapText="1"/>
    </xf>
    <xf numFmtId="2" fontId="3" fillId="0" borderId="22" xfId="4" applyNumberFormat="1" applyFont="1" applyFill="1" applyBorder="1" applyAlignment="1">
      <alignment horizontal="center" vertical="center" wrapText="1"/>
    </xf>
    <xf numFmtId="164" fontId="10" fillId="0" borderId="7" xfId="4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/>
    </xf>
    <xf numFmtId="165" fontId="11" fillId="0" borderId="0" xfId="3" applyNumberFormat="1" applyFont="1" applyFill="1" applyBorder="1" applyAlignment="1">
      <alignment wrapText="1"/>
    </xf>
    <xf numFmtId="1" fontId="17" fillId="0" borderId="0" xfId="3" applyFont="1" applyFill="1" applyBorder="1" applyAlignment="1"/>
    <xf numFmtId="1" fontId="17" fillId="0" borderId="10" xfId="3" applyFont="1" applyFill="1" applyBorder="1" applyAlignment="1">
      <alignment horizontal="center"/>
    </xf>
    <xf numFmtId="0" fontId="12" fillId="0" borderId="4" xfId="4" applyFont="1" applyFill="1" applyBorder="1" applyAlignment="1">
      <alignment horizontal="left"/>
    </xf>
    <xf numFmtId="0" fontId="10" fillId="0" borderId="18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2" fontId="15" fillId="0" borderId="18" xfId="4" applyNumberFormat="1" applyFont="1" applyFill="1" applyBorder="1" applyAlignment="1">
      <alignment horizontal="center" vertical="center" wrapText="1"/>
    </xf>
    <xf numFmtId="164" fontId="15" fillId="0" borderId="6" xfId="1" applyFont="1" applyFill="1" applyBorder="1" applyAlignment="1">
      <alignment horizontal="center" vertical="center" wrapText="1"/>
    </xf>
    <xf numFmtId="166" fontId="3" fillId="0" borderId="20" xfId="1" applyNumberFormat="1" applyFont="1" applyFill="1" applyBorder="1" applyAlignment="1">
      <alignment horizontal="center" vertical="center" wrapText="1"/>
    </xf>
    <xf numFmtId="1" fontId="28" fillId="0" borderId="0" xfId="3" applyFont="1" applyFill="1" applyBorder="1" applyAlignment="1"/>
    <xf numFmtId="1" fontId="28" fillId="0" borderId="10" xfId="3" applyFont="1" applyFill="1" applyBorder="1" applyAlignment="1"/>
    <xf numFmtId="0" fontId="13" fillId="0" borderId="5" xfId="0" applyFont="1" applyFill="1" applyBorder="1"/>
    <xf numFmtId="0" fontId="6" fillId="0" borderId="5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quotePrefix="1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wrapText="1"/>
    </xf>
    <xf numFmtId="0" fontId="29" fillId="0" borderId="6" xfId="0" applyFont="1" applyFill="1" applyBorder="1" applyAlignment="1">
      <alignment vertical="center"/>
    </xf>
    <xf numFmtId="0" fontId="29" fillId="0" borderId="6" xfId="0" applyFont="1" applyFill="1" applyBorder="1" applyAlignment="1">
      <alignment horizontal="center" wrapText="1"/>
    </xf>
    <xf numFmtId="0" fontId="29" fillId="0" borderId="6" xfId="0" quotePrefix="1" applyFont="1" applyFill="1" applyBorder="1" applyAlignment="1">
      <alignment vertical="center"/>
    </xf>
    <xf numFmtId="0" fontId="29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29" fillId="0" borderId="6" xfId="0" quotePrefix="1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wrapText="1"/>
    </xf>
    <xf numFmtId="0" fontId="31" fillId="0" borderId="6" xfId="0" applyFont="1" applyFill="1" applyBorder="1" applyAlignment="1">
      <alignment horizontal="center" wrapText="1"/>
    </xf>
    <xf numFmtId="2" fontId="10" fillId="0" borderId="6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1" fontId="27" fillId="0" borderId="6" xfId="0" applyNumberFormat="1" applyFont="1" applyFill="1" applyBorder="1" applyAlignment="1">
      <alignment vertical="center"/>
    </xf>
    <xf numFmtId="164" fontId="27" fillId="0" borderId="6" xfId="1" applyFont="1" applyFill="1" applyBorder="1" applyAlignment="1">
      <alignment horizontal="center" vertical="center"/>
    </xf>
    <xf numFmtId="43" fontId="27" fillId="0" borderId="18" xfId="1" applyNumberFormat="1" applyFont="1" applyFill="1" applyBorder="1" applyAlignment="1">
      <alignment horizontal="center" vertical="center"/>
    </xf>
    <xf numFmtId="2" fontId="32" fillId="0" borderId="6" xfId="4" applyNumberFormat="1" applyFont="1" applyFill="1" applyBorder="1" applyAlignment="1">
      <alignment horizontal="center" vertical="center" wrapText="1"/>
    </xf>
    <xf numFmtId="168" fontId="27" fillId="0" borderId="6" xfId="0" applyNumberFormat="1" applyFont="1" applyFill="1" applyBorder="1"/>
    <xf numFmtId="0" fontId="33" fillId="0" borderId="6" xfId="0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wrapText="1"/>
    </xf>
    <xf numFmtId="166" fontId="10" fillId="0" borderId="8" xfId="1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center" vertical="center" wrapText="1"/>
    </xf>
    <xf numFmtId="164" fontId="10" fillId="0" borderId="19" xfId="1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164" fontId="10" fillId="0" borderId="7" xfId="1" applyFont="1" applyFill="1" applyBorder="1" applyAlignment="1">
      <alignment horizontal="center" vertical="center" wrapText="1"/>
    </xf>
    <xf numFmtId="164" fontId="10" fillId="0" borderId="17" xfId="1" applyFont="1" applyFill="1" applyBorder="1" applyAlignment="1">
      <alignment vertical="center" wrapText="1"/>
    </xf>
    <xf numFmtId="164" fontId="10" fillId="0" borderId="15" xfId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2" fontId="3" fillId="0" borderId="18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/>
    <xf numFmtId="0" fontId="3" fillId="2" borderId="1" xfId="1" applyNumberFormat="1" applyFont="1" applyFill="1" applyBorder="1" applyAlignment="1">
      <alignment horizontal="right" vertical="center"/>
    </xf>
    <xf numFmtId="0" fontId="13" fillId="2" borderId="1" xfId="4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wrapText="1"/>
    </xf>
    <xf numFmtId="0" fontId="20" fillId="3" borderId="1" xfId="0" applyFont="1" applyFill="1" applyBorder="1" applyAlignment="1">
      <alignment horizontal="center"/>
    </xf>
    <xf numFmtId="166" fontId="10" fillId="2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2" borderId="1" xfId="4" applyFont="1" applyFill="1" applyBorder="1" applyAlignment="1">
      <alignment vertical="center" wrapText="1"/>
    </xf>
    <xf numFmtId="0" fontId="20" fillId="3" borderId="1" xfId="0" quotePrefix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vertical="center" wrapText="1"/>
    </xf>
    <xf numFmtId="164" fontId="3" fillId="2" borderId="1" xfId="1" quotePrefix="1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167" fontId="3" fillId="2" borderId="1" xfId="1" applyNumberFormat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vertical="center"/>
    </xf>
    <xf numFmtId="0" fontId="21" fillId="0" borderId="1" xfId="0" quotePrefix="1" applyFont="1" applyBorder="1" applyAlignment="1">
      <alignment vertical="center"/>
    </xf>
    <xf numFmtId="0" fontId="21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1" fillId="3" borderId="1" xfId="0" quotePrefix="1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justify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right" vertical="center" wrapText="1"/>
    </xf>
    <xf numFmtId="164" fontId="10" fillId="2" borderId="1" xfId="1" applyFont="1" applyFill="1" applyBorder="1" applyAlignment="1">
      <alignment horizontal="right" vertical="center" wrapText="1"/>
    </xf>
    <xf numFmtId="2" fontId="24" fillId="0" borderId="1" xfId="0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0" fontId="10" fillId="0" borderId="1" xfId="4" applyFont="1" applyFill="1" applyBorder="1" applyAlignment="1">
      <alignment horizontal="right" vertical="center" wrapText="1"/>
    </xf>
    <xf numFmtId="2" fontId="26" fillId="0" borderId="1" xfId="4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164" fontId="10" fillId="0" borderId="1" xfId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right" vertical="center"/>
    </xf>
    <xf numFmtId="0" fontId="3" fillId="2" borderId="1" xfId="4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vertical="center" wrapText="1"/>
    </xf>
    <xf numFmtId="164" fontId="3" fillId="4" borderId="1" xfId="1" applyFont="1" applyFill="1" applyBorder="1" applyAlignment="1">
      <alignment horizontal="center" vertical="center"/>
    </xf>
    <xf numFmtId="164" fontId="10" fillId="4" borderId="1" xfId="1" applyFont="1" applyFill="1" applyBorder="1" applyAlignment="1">
      <alignment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164" fontId="10" fillId="4" borderId="1" xfId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 wrapText="1"/>
    </xf>
    <xf numFmtId="0" fontId="10" fillId="0" borderId="21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center" vertical="center" wrapText="1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center" vertical="center" wrapText="1"/>
    </xf>
    <xf numFmtId="0" fontId="10" fillId="0" borderId="25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center" vertical="center" wrapText="1"/>
    </xf>
    <xf numFmtId="164" fontId="10" fillId="0" borderId="17" xfId="1" applyFont="1" applyFill="1" applyBorder="1" applyAlignment="1">
      <alignment horizontal="center" vertical="center" wrapText="1"/>
    </xf>
    <xf numFmtId="164" fontId="10" fillId="0" borderId="19" xfId="1" applyFont="1" applyFill="1" applyBorder="1" applyAlignment="1">
      <alignment horizontal="center"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center" vertical="center" wrapText="1"/>
    </xf>
    <xf numFmtId="0" fontId="18" fillId="0" borderId="3" xfId="4" applyFont="1" applyFill="1" applyBorder="1" applyAlignment="1">
      <alignment horizontal="center" vertical="center" wrapText="1"/>
    </xf>
    <xf numFmtId="0" fontId="18" fillId="2" borderId="2" xfId="4" applyFont="1" applyFill="1" applyBorder="1" applyAlignment="1">
      <alignment horizontal="center" vertical="center" wrapText="1"/>
    </xf>
    <xf numFmtId="0" fontId="18" fillId="2" borderId="9" xfId="4" applyFont="1" applyFill="1" applyBorder="1" applyAlignment="1">
      <alignment horizontal="center" vertical="center" wrapText="1"/>
    </xf>
    <xf numFmtId="0" fontId="18" fillId="2" borderId="3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1" fontId="7" fillId="2" borderId="0" xfId="3" applyFont="1" applyFill="1" applyAlignment="1">
      <alignment horizontal="left"/>
    </xf>
    <xf numFmtId="1" fontId="18" fillId="2" borderId="1" xfId="3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/>
    </xf>
    <xf numFmtId="1" fontId="17" fillId="2" borderId="0" xfId="3" applyFont="1" applyFill="1" applyBorder="1" applyAlignment="1">
      <alignment horizontal="center"/>
    </xf>
    <xf numFmtId="165" fontId="11" fillId="2" borderId="0" xfId="3" applyNumberFormat="1" applyFont="1" applyFill="1" applyBorder="1" applyAlignment="1">
      <alignment horizontal="center" wrapText="1"/>
    </xf>
    <xf numFmtId="1" fontId="14" fillId="2" borderId="1" xfId="3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9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Comma 10" xfId="5"/>
    <cellStyle name="Comma 12" xfId="7"/>
    <cellStyle name="Comma 2_bao cao cua UBND tinh quy II - 2011" xfId="6"/>
    <cellStyle name="Normal" xfId="0" builtinId="0"/>
    <cellStyle name="Normal_Bieu BC cap Huyen - Xa " xfId="3"/>
    <cellStyle name="Normal_Sheet1" xfId="2"/>
    <cellStyle name="Normal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topLeftCell="P1" workbookViewId="0">
      <pane ySplit="6" topLeftCell="A55" activePane="bottomLeft" state="frozen"/>
      <selection pane="bottomLeft" activeCell="AC61" sqref="AC61"/>
    </sheetView>
  </sheetViews>
  <sheetFormatPr defaultRowHeight="12.75" x14ac:dyDescent="0.2"/>
  <cols>
    <col min="1" max="1" width="5.125" style="7" customWidth="1"/>
    <col min="2" max="2" width="25" style="100" customWidth="1"/>
    <col min="3" max="3" width="6" style="100" customWidth="1"/>
    <col min="4" max="10" width="7.75" style="100" customWidth="1"/>
    <col min="11" max="11" width="8.25" style="100" customWidth="1"/>
    <col min="12" max="20" width="8.875" style="100" customWidth="1"/>
    <col min="21" max="23" width="9.125" style="100" customWidth="1"/>
    <col min="24" max="26" width="8.875" style="7" customWidth="1"/>
    <col min="27" max="29" width="8.25" style="7" customWidth="1"/>
    <col min="30" max="32" width="8" style="7" customWidth="1"/>
    <col min="33" max="35" width="7.375" style="7" customWidth="1"/>
    <col min="36" max="37" width="4.625" style="7" hidden="1" customWidth="1"/>
    <col min="38" max="38" width="0.125" style="7" hidden="1" customWidth="1"/>
    <col min="39" max="39" width="0.75" style="7" hidden="1" customWidth="1"/>
    <col min="40" max="40" width="9" style="7" hidden="1" customWidth="1"/>
    <col min="41" max="42" width="9" style="7" customWidth="1"/>
    <col min="43" max="16384" width="9" style="7"/>
  </cols>
  <sheetData>
    <row r="1" spans="1:40" ht="15.75" x14ac:dyDescent="0.25">
      <c r="A1" s="269" t="s">
        <v>42</v>
      </c>
      <c r="B1" s="269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0" ht="15.75" customHeight="1" x14ac:dyDescent="0.25">
      <c r="A2" s="273" t="s">
        <v>17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132"/>
      <c r="S2" s="132"/>
      <c r="T2" s="132"/>
      <c r="U2" s="132"/>
      <c r="V2" s="132"/>
      <c r="W2" s="132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40" ht="15.75" x14ac:dyDescent="0.25">
      <c r="A3" s="272" t="s">
        <v>131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133"/>
      <c r="S3" s="133"/>
      <c r="T3" s="141"/>
      <c r="U3" s="85"/>
      <c r="V3" s="85"/>
      <c r="W3" s="85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40" ht="15.75" x14ac:dyDescent="0.25">
      <c r="A4" s="107"/>
      <c r="B4" s="134"/>
      <c r="C4" s="134"/>
      <c r="D4" s="134"/>
      <c r="E4" s="134"/>
      <c r="F4" s="134"/>
      <c r="G4" s="134"/>
      <c r="H4" s="134"/>
      <c r="I4" s="85"/>
      <c r="J4" s="85"/>
      <c r="K4" s="85"/>
      <c r="L4" s="85"/>
      <c r="M4" s="85"/>
      <c r="N4" s="85"/>
      <c r="O4" s="85"/>
      <c r="P4" s="85"/>
      <c r="Q4" s="142"/>
      <c r="R4" s="85"/>
      <c r="S4" s="85"/>
      <c r="T4" s="142"/>
      <c r="U4" s="85"/>
      <c r="V4" s="85"/>
      <c r="W4" s="85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40" s="22" customFormat="1" ht="12.75" customHeight="1" x14ac:dyDescent="0.2">
      <c r="A5" s="270" t="s">
        <v>8</v>
      </c>
      <c r="B5" s="271" t="s">
        <v>9</v>
      </c>
      <c r="C5" s="271" t="s">
        <v>10</v>
      </c>
      <c r="D5" s="262" t="s">
        <v>18</v>
      </c>
      <c r="E5" s="263"/>
      <c r="F5" s="262" t="s">
        <v>21</v>
      </c>
      <c r="G5" s="267"/>
      <c r="H5" s="263"/>
      <c r="I5" s="262" t="s">
        <v>20</v>
      </c>
      <c r="J5" s="267"/>
      <c r="K5" s="263"/>
      <c r="L5" s="262" t="s">
        <v>23</v>
      </c>
      <c r="M5" s="267"/>
      <c r="N5" s="263"/>
      <c r="O5" s="262" t="s">
        <v>25</v>
      </c>
      <c r="P5" s="267"/>
      <c r="Q5" s="263"/>
      <c r="R5" s="262" t="s">
        <v>27</v>
      </c>
      <c r="S5" s="267"/>
      <c r="T5" s="263"/>
      <c r="U5" s="262" t="s">
        <v>29</v>
      </c>
      <c r="V5" s="267"/>
      <c r="W5" s="263"/>
      <c r="X5" s="264" t="s">
        <v>30</v>
      </c>
      <c r="Y5" s="265"/>
      <c r="Z5" s="266"/>
      <c r="AA5" s="264" t="s">
        <v>31</v>
      </c>
      <c r="AB5" s="265"/>
      <c r="AC5" s="266"/>
      <c r="AD5" s="264" t="s">
        <v>32</v>
      </c>
      <c r="AE5" s="265"/>
      <c r="AF5" s="266"/>
      <c r="AG5" s="264" t="s">
        <v>33</v>
      </c>
      <c r="AH5" s="265"/>
      <c r="AI5" s="266"/>
      <c r="AJ5" s="264" t="s">
        <v>34</v>
      </c>
      <c r="AK5" s="265"/>
      <c r="AL5" s="266"/>
      <c r="AM5" s="268" t="s">
        <v>2</v>
      </c>
    </row>
    <row r="6" spans="1:40" s="22" customFormat="1" ht="49.5" customHeight="1" x14ac:dyDescent="0.2">
      <c r="A6" s="270"/>
      <c r="B6" s="271"/>
      <c r="C6" s="271"/>
      <c r="D6" s="184" t="s">
        <v>40</v>
      </c>
      <c r="E6" s="184" t="s">
        <v>130</v>
      </c>
      <c r="F6" s="184" t="s">
        <v>40</v>
      </c>
      <c r="G6" s="184" t="s">
        <v>41</v>
      </c>
      <c r="H6" s="184" t="s">
        <v>19</v>
      </c>
      <c r="I6" s="184" t="s">
        <v>40</v>
      </c>
      <c r="J6" s="184" t="s">
        <v>41</v>
      </c>
      <c r="K6" s="184" t="s">
        <v>22</v>
      </c>
      <c r="L6" s="184" t="s">
        <v>40</v>
      </c>
      <c r="M6" s="184" t="s">
        <v>41</v>
      </c>
      <c r="N6" s="184" t="s">
        <v>24</v>
      </c>
      <c r="O6" s="184" t="s">
        <v>40</v>
      </c>
      <c r="P6" s="184" t="s">
        <v>41</v>
      </c>
      <c r="Q6" s="184" t="s">
        <v>26</v>
      </c>
      <c r="R6" s="184" t="s">
        <v>40</v>
      </c>
      <c r="S6" s="184" t="s">
        <v>41</v>
      </c>
      <c r="T6" s="184" t="s">
        <v>28</v>
      </c>
      <c r="U6" s="184" t="s">
        <v>40</v>
      </c>
      <c r="V6" s="184" t="s">
        <v>41</v>
      </c>
      <c r="W6" s="184" t="s">
        <v>35</v>
      </c>
      <c r="X6" s="23" t="s">
        <v>40</v>
      </c>
      <c r="Y6" s="23" t="s">
        <v>41</v>
      </c>
      <c r="Z6" s="23" t="s">
        <v>36</v>
      </c>
      <c r="AA6" s="23" t="s">
        <v>40</v>
      </c>
      <c r="AB6" s="23" t="s">
        <v>41</v>
      </c>
      <c r="AC6" s="23" t="s">
        <v>37</v>
      </c>
      <c r="AD6" s="23" t="s">
        <v>40</v>
      </c>
      <c r="AE6" s="23" t="s">
        <v>41</v>
      </c>
      <c r="AF6" s="23" t="s">
        <v>38</v>
      </c>
      <c r="AG6" s="23" t="s">
        <v>40</v>
      </c>
      <c r="AH6" s="23" t="s">
        <v>41</v>
      </c>
      <c r="AI6" s="23" t="s">
        <v>15</v>
      </c>
      <c r="AJ6" s="23" t="s">
        <v>40</v>
      </c>
      <c r="AK6" s="23" t="s">
        <v>41</v>
      </c>
      <c r="AL6" s="23" t="s">
        <v>39</v>
      </c>
      <c r="AM6" s="268"/>
    </row>
    <row r="7" spans="1:40" x14ac:dyDescent="0.2">
      <c r="A7" s="8" t="s">
        <v>5</v>
      </c>
      <c r="B7" s="86" t="s">
        <v>6</v>
      </c>
      <c r="C7" s="86" t="s">
        <v>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>
        <v>10</v>
      </c>
    </row>
    <row r="8" spans="1:40" x14ac:dyDescent="0.2">
      <c r="A8" s="11" t="s">
        <v>117</v>
      </c>
      <c r="B8" s="135" t="s">
        <v>118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40" x14ac:dyDescent="0.2">
      <c r="A9" s="13" t="s">
        <v>11</v>
      </c>
      <c r="B9" s="261" t="s">
        <v>12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</row>
    <row r="10" spans="1:40" x14ac:dyDescent="0.2">
      <c r="A10" s="106">
        <v>1</v>
      </c>
      <c r="B10" s="143" t="s">
        <v>43</v>
      </c>
      <c r="C10" s="144"/>
      <c r="D10" s="1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5"/>
    </row>
    <row r="11" spans="1:40" x14ac:dyDescent="0.2">
      <c r="A11" s="104"/>
      <c r="B11" s="145" t="s">
        <v>44</v>
      </c>
      <c r="C11" s="146" t="s">
        <v>56</v>
      </c>
      <c r="D11" s="89">
        <f t="shared" ref="D11:M11" si="0">D13+D14</f>
        <v>478430</v>
      </c>
      <c r="E11" s="89">
        <f t="shared" si="0"/>
        <v>484455</v>
      </c>
      <c r="F11" s="89">
        <f t="shared" si="0"/>
        <v>478430</v>
      </c>
      <c r="G11" s="89">
        <f t="shared" si="0"/>
        <v>484455</v>
      </c>
      <c r="H11" s="89">
        <f t="shared" si="0"/>
        <v>484455</v>
      </c>
      <c r="I11" s="89">
        <f t="shared" si="0"/>
        <v>478430</v>
      </c>
      <c r="J11" s="89">
        <f t="shared" si="0"/>
        <v>484455</v>
      </c>
      <c r="K11" s="89">
        <f t="shared" si="0"/>
        <v>484455</v>
      </c>
      <c r="L11" s="89">
        <f t="shared" si="0"/>
        <v>478430</v>
      </c>
      <c r="M11" s="89">
        <f t="shared" si="0"/>
        <v>484455</v>
      </c>
      <c r="N11" s="89">
        <f>N13+N14</f>
        <v>484455</v>
      </c>
      <c r="O11" s="89">
        <f t="shared" ref="O11" si="1">O13+O14</f>
        <v>478430</v>
      </c>
      <c r="P11" s="89">
        <f>P13+P14</f>
        <v>484455</v>
      </c>
      <c r="Q11" s="89">
        <f>Q13+Q14</f>
        <v>484455</v>
      </c>
      <c r="R11" s="89">
        <f t="shared" ref="R11" si="2">R13+R14</f>
        <v>478430</v>
      </c>
      <c r="S11" s="89">
        <v>484532</v>
      </c>
      <c r="T11" s="89">
        <v>484532</v>
      </c>
      <c r="U11" s="89">
        <f t="shared" ref="U11:AN11" si="3">U13+U14</f>
        <v>478430</v>
      </c>
      <c r="V11" s="89">
        <f t="shared" si="3"/>
        <v>484532</v>
      </c>
      <c r="W11" s="89">
        <f t="shared" si="3"/>
        <v>484532</v>
      </c>
      <c r="X11" s="39">
        <f t="shared" si="3"/>
        <v>478430</v>
      </c>
      <c r="Y11" s="39">
        <f t="shared" si="3"/>
        <v>484532</v>
      </c>
      <c r="Z11" s="39">
        <f t="shared" si="3"/>
        <v>484532</v>
      </c>
      <c r="AA11" s="39">
        <f t="shared" si="3"/>
        <v>478430</v>
      </c>
      <c r="AB11" s="39">
        <f t="shared" si="3"/>
        <v>484043</v>
      </c>
      <c r="AC11" s="39">
        <f t="shared" si="3"/>
        <v>484043</v>
      </c>
      <c r="AD11" s="39">
        <f t="shared" si="3"/>
        <v>478430</v>
      </c>
      <c r="AE11" s="39">
        <f t="shared" si="3"/>
        <v>484043</v>
      </c>
      <c r="AF11" s="39">
        <f t="shared" si="3"/>
        <v>484043</v>
      </c>
      <c r="AG11" s="39">
        <f t="shared" ref="AG11:AH11" si="4">AG13+AG14</f>
        <v>478430</v>
      </c>
      <c r="AH11" s="39">
        <f t="shared" si="4"/>
        <v>484043</v>
      </c>
      <c r="AI11" s="39">
        <f t="shared" ref="AI11" si="5">AI13+AI14</f>
        <v>484043</v>
      </c>
      <c r="AJ11" s="39">
        <f t="shared" si="3"/>
        <v>0</v>
      </c>
      <c r="AK11" s="39">
        <f t="shared" si="3"/>
        <v>0</v>
      </c>
      <c r="AL11" s="39">
        <f t="shared" si="3"/>
        <v>0</v>
      </c>
      <c r="AM11" s="39">
        <f t="shared" si="3"/>
        <v>0</v>
      </c>
      <c r="AN11" s="39">
        <f t="shared" si="3"/>
        <v>0</v>
      </c>
    </row>
    <row r="12" spans="1:40" x14ac:dyDescent="0.2">
      <c r="A12" s="104"/>
      <c r="B12" s="147" t="s">
        <v>45</v>
      </c>
      <c r="C12" s="146"/>
      <c r="D12" s="125"/>
      <c r="E12" s="89"/>
      <c r="F12" s="125"/>
      <c r="G12" s="89"/>
      <c r="H12" s="89"/>
      <c r="I12" s="125"/>
      <c r="J12" s="89"/>
      <c r="K12" s="89"/>
      <c r="L12" s="125"/>
      <c r="M12" s="89"/>
      <c r="N12" s="89"/>
      <c r="O12" s="125"/>
      <c r="P12" s="89"/>
      <c r="Q12" s="89"/>
      <c r="R12" s="125"/>
      <c r="S12" s="89"/>
      <c r="T12" s="89"/>
      <c r="U12" s="125"/>
      <c r="V12" s="89"/>
      <c r="W12" s="89"/>
      <c r="X12" s="37"/>
      <c r="Y12" s="39"/>
      <c r="Z12" s="39"/>
      <c r="AA12" s="37"/>
      <c r="AB12" s="39"/>
      <c r="AC12" s="39"/>
      <c r="AD12" s="37"/>
      <c r="AE12" s="39"/>
      <c r="AF12" s="39"/>
      <c r="AG12" s="37"/>
      <c r="AH12" s="39"/>
      <c r="AI12" s="39"/>
      <c r="AJ12" s="65"/>
      <c r="AK12" s="65"/>
      <c r="AL12" s="65"/>
      <c r="AM12" s="16"/>
    </row>
    <row r="13" spans="1:40" x14ac:dyDescent="0.2">
      <c r="A13" s="104"/>
      <c r="B13" s="147" t="s">
        <v>46</v>
      </c>
      <c r="C13" s="146" t="s">
        <v>56</v>
      </c>
      <c r="D13" s="125">
        <v>84661</v>
      </c>
      <c r="E13" s="89">
        <v>86155</v>
      </c>
      <c r="F13" s="125">
        <v>84661</v>
      </c>
      <c r="G13" s="89">
        <v>86155</v>
      </c>
      <c r="H13" s="89">
        <v>86155</v>
      </c>
      <c r="I13" s="125">
        <v>84661</v>
      </c>
      <c r="J13" s="89">
        <v>86155</v>
      </c>
      <c r="K13" s="89">
        <v>86155</v>
      </c>
      <c r="L13" s="125">
        <v>84661</v>
      </c>
      <c r="M13" s="89">
        <v>86155</v>
      </c>
      <c r="N13" s="89">
        <v>86155</v>
      </c>
      <c r="O13" s="125">
        <v>84661</v>
      </c>
      <c r="P13" s="89">
        <v>86155</v>
      </c>
      <c r="Q13" s="89">
        <v>86155</v>
      </c>
      <c r="R13" s="125">
        <v>84661</v>
      </c>
      <c r="S13" s="89">
        <v>85617</v>
      </c>
      <c r="T13" s="89">
        <v>85617</v>
      </c>
      <c r="U13" s="125">
        <v>84661</v>
      </c>
      <c r="V13" s="89">
        <v>85617</v>
      </c>
      <c r="W13" s="89">
        <v>85617</v>
      </c>
      <c r="X13" s="37">
        <v>84661</v>
      </c>
      <c r="Y13" s="39">
        <v>85617</v>
      </c>
      <c r="Z13" s="39">
        <v>85617</v>
      </c>
      <c r="AA13" s="37">
        <v>84661</v>
      </c>
      <c r="AB13" s="39">
        <v>85136</v>
      </c>
      <c r="AC13" s="39">
        <v>85136</v>
      </c>
      <c r="AD13" s="37">
        <v>84661</v>
      </c>
      <c r="AE13" s="39">
        <v>85136</v>
      </c>
      <c r="AF13" s="39">
        <v>85136</v>
      </c>
      <c r="AG13" s="37">
        <v>84661</v>
      </c>
      <c r="AH13" s="39">
        <v>85136</v>
      </c>
      <c r="AI13" s="39">
        <v>85136</v>
      </c>
      <c r="AJ13" s="65"/>
      <c r="AK13" s="65"/>
      <c r="AL13" s="65"/>
      <c r="AM13" s="16"/>
    </row>
    <row r="14" spans="1:40" x14ac:dyDescent="0.2">
      <c r="A14" s="104"/>
      <c r="B14" s="147" t="s">
        <v>47</v>
      </c>
      <c r="C14" s="146" t="s">
        <v>56</v>
      </c>
      <c r="D14" s="125">
        <v>393769</v>
      </c>
      <c r="E14" s="89">
        <v>398300</v>
      </c>
      <c r="F14" s="125">
        <v>393769</v>
      </c>
      <c r="G14" s="89">
        <v>398300</v>
      </c>
      <c r="H14" s="89">
        <v>398300</v>
      </c>
      <c r="I14" s="125">
        <v>393769</v>
      </c>
      <c r="J14" s="89">
        <v>398300</v>
      </c>
      <c r="K14" s="89">
        <v>398300</v>
      </c>
      <c r="L14" s="125">
        <v>393769</v>
      </c>
      <c r="M14" s="89">
        <v>398300</v>
      </c>
      <c r="N14" s="89">
        <v>398300</v>
      </c>
      <c r="O14" s="125">
        <v>393769</v>
      </c>
      <c r="P14" s="89">
        <v>398300</v>
      </c>
      <c r="Q14" s="89">
        <v>398300</v>
      </c>
      <c r="R14" s="125">
        <v>393769</v>
      </c>
      <c r="S14" s="89">
        <v>398915</v>
      </c>
      <c r="T14" s="89">
        <v>398915</v>
      </c>
      <c r="U14" s="125">
        <v>393769</v>
      </c>
      <c r="V14" s="89">
        <v>398915</v>
      </c>
      <c r="W14" s="89">
        <v>398915</v>
      </c>
      <c r="X14" s="37">
        <v>393769</v>
      </c>
      <c r="Y14" s="39">
        <v>398915</v>
      </c>
      <c r="Z14" s="39">
        <v>398915</v>
      </c>
      <c r="AA14" s="37">
        <v>393769</v>
      </c>
      <c r="AB14" s="39">
        <v>398907</v>
      </c>
      <c r="AC14" s="39">
        <v>398907</v>
      </c>
      <c r="AD14" s="37">
        <v>393769</v>
      </c>
      <c r="AE14" s="39">
        <v>398907</v>
      </c>
      <c r="AF14" s="39">
        <v>398907</v>
      </c>
      <c r="AG14" s="37">
        <v>393769</v>
      </c>
      <c r="AH14" s="39">
        <v>398907</v>
      </c>
      <c r="AI14" s="39">
        <v>398907</v>
      </c>
      <c r="AJ14" s="65"/>
      <c r="AK14" s="65"/>
      <c r="AL14" s="65"/>
      <c r="AM14" s="16"/>
    </row>
    <row r="15" spans="1:40" hidden="1" x14ac:dyDescent="0.2">
      <c r="A15" s="104"/>
      <c r="B15" s="147" t="s">
        <v>48</v>
      </c>
      <c r="C15" s="146" t="s">
        <v>56</v>
      </c>
      <c r="D15" s="125">
        <v>391371</v>
      </c>
      <c r="E15" s="89"/>
      <c r="F15" s="125"/>
      <c r="G15" s="89"/>
      <c r="H15" s="89"/>
      <c r="I15" s="125"/>
      <c r="J15" s="89"/>
      <c r="K15" s="89"/>
      <c r="L15" s="125"/>
      <c r="M15" s="89"/>
      <c r="N15" s="89"/>
      <c r="O15" s="125"/>
      <c r="P15" s="89"/>
      <c r="Q15" s="89"/>
      <c r="R15" s="89"/>
      <c r="S15" s="89"/>
      <c r="T15" s="89"/>
      <c r="U15" s="125"/>
      <c r="V15" s="89"/>
      <c r="W15" s="89"/>
      <c r="X15" s="37"/>
      <c r="Y15" s="39"/>
      <c r="Z15" s="39"/>
      <c r="AA15" s="39"/>
      <c r="AB15" s="39"/>
      <c r="AC15" s="39"/>
      <c r="AD15" s="37"/>
      <c r="AE15" s="39"/>
      <c r="AF15" s="39"/>
      <c r="AG15" s="37"/>
      <c r="AH15" s="39"/>
      <c r="AI15" s="39"/>
      <c r="AJ15" s="65"/>
      <c r="AK15" s="65"/>
      <c r="AL15" s="65"/>
      <c r="AM15" s="16"/>
    </row>
    <row r="16" spans="1:40" x14ac:dyDescent="0.2">
      <c r="A16" s="104"/>
      <c r="B16" s="148" t="s">
        <v>125</v>
      </c>
      <c r="C16" s="146" t="s">
        <v>126</v>
      </c>
      <c r="D16" s="125"/>
      <c r="E16" s="89"/>
      <c r="F16" s="125"/>
      <c r="G16" s="89"/>
      <c r="H16" s="89"/>
      <c r="I16" s="125"/>
      <c r="J16" s="89"/>
      <c r="K16" s="89"/>
      <c r="L16" s="125"/>
      <c r="M16" s="89"/>
      <c r="N16" s="89"/>
      <c r="O16" s="125"/>
      <c r="P16" s="89"/>
      <c r="Q16" s="89"/>
      <c r="R16" s="89"/>
      <c r="S16" s="89"/>
      <c r="T16" s="89"/>
      <c r="U16" s="125"/>
      <c r="V16" s="89"/>
      <c r="W16" s="89"/>
      <c r="X16" s="37"/>
      <c r="Y16" s="39"/>
      <c r="Z16" s="39"/>
      <c r="AA16" s="39"/>
      <c r="AB16" s="39"/>
      <c r="AC16" s="39"/>
      <c r="AD16" s="37"/>
      <c r="AE16" s="39"/>
      <c r="AF16" s="39"/>
      <c r="AG16" s="37"/>
      <c r="AH16" s="39"/>
      <c r="AI16" s="39"/>
      <c r="AJ16" s="65"/>
      <c r="AK16" s="65"/>
      <c r="AL16" s="65"/>
      <c r="AM16" s="16"/>
    </row>
    <row r="17" spans="1:39" x14ac:dyDescent="0.2">
      <c r="A17" s="104"/>
      <c r="B17" s="148" t="s">
        <v>132</v>
      </c>
      <c r="C17" s="146" t="s">
        <v>56</v>
      </c>
      <c r="D17" s="125"/>
      <c r="E17" s="89"/>
      <c r="F17" s="125"/>
      <c r="G17" s="89"/>
      <c r="H17" s="89"/>
      <c r="I17" s="125"/>
      <c r="J17" s="89"/>
      <c r="K17" s="89"/>
      <c r="L17" s="125"/>
      <c r="M17" s="89"/>
      <c r="N17" s="89"/>
      <c r="O17" s="125"/>
      <c r="P17" s="89"/>
      <c r="Q17" s="89"/>
      <c r="R17" s="89"/>
      <c r="S17" s="89">
        <v>408103</v>
      </c>
      <c r="T17" s="89">
        <v>408103</v>
      </c>
      <c r="U17" s="125"/>
      <c r="V17" s="89"/>
      <c r="W17" s="89"/>
      <c r="X17" s="37"/>
      <c r="Y17" s="39"/>
      <c r="Z17" s="39"/>
      <c r="AA17" s="39"/>
      <c r="AB17" s="39"/>
      <c r="AC17" s="39"/>
      <c r="AD17" s="37"/>
      <c r="AE17" s="39"/>
      <c r="AF17" s="39"/>
      <c r="AG17" s="37"/>
      <c r="AH17" s="39"/>
      <c r="AI17" s="39"/>
      <c r="AJ17" s="65"/>
      <c r="AK17" s="65"/>
      <c r="AL17" s="65"/>
      <c r="AM17" s="16"/>
    </row>
    <row r="18" spans="1:39" ht="15.75" customHeight="1" x14ac:dyDescent="0.2">
      <c r="A18" s="104"/>
      <c r="B18" s="147" t="s">
        <v>49</v>
      </c>
      <c r="C18" s="146" t="s">
        <v>57</v>
      </c>
      <c r="D18" s="95"/>
      <c r="E18" s="95"/>
      <c r="F18" s="95"/>
      <c r="G18" s="95"/>
      <c r="H18" s="95"/>
      <c r="I18" s="90">
        <v>1.72</v>
      </c>
      <c r="J18" s="90"/>
      <c r="K18" s="90">
        <v>0.36</v>
      </c>
      <c r="L18" s="90"/>
      <c r="M18" s="90"/>
      <c r="N18" s="90"/>
      <c r="O18" s="90"/>
      <c r="P18" s="90"/>
      <c r="Q18" s="90"/>
      <c r="R18" s="90">
        <v>1.72</v>
      </c>
      <c r="S18" s="90"/>
      <c r="T18" s="90">
        <v>1.46</v>
      </c>
      <c r="U18" s="90"/>
      <c r="V18" s="90"/>
      <c r="W18" s="90"/>
      <c r="X18" s="65"/>
      <c r="Y18" s="65"/>
      <c r="Z18" s="65"/>
      <c r="AA18" s="65">
        <v>1.72</v>
      </c>
      <c r="AB18" s="65"/>
      <c r="AC18" s="65">
        <v>0.95</v>
      </c>
      <c r="AD18" s="65"/>
      <c r="AE18" s="65"/>
      <c r="AF18" s="65"/>
      <c r="AG18" s="65"/>
      <c r="AH18" s="65"/>
      <c r="AI18" s="65"/>
      <c r="AJ18" s="65"/>
      <c r="AK18" s="65"/>
      <c r="AL18" s="65"/>
      <c r="AM18" s="16"/>
    </row>
    <row r="19" spans="1:39" ht="15.75" customHeight="1" x14ac:dyDescent="0.2">
      <c r="A19" s="104"/>
      <c r="B19" s="147" t="s">
        <v>50</v>
      </c>
      <c r="C19" s="146" t="s">
        <v>143</v>
      </c>
      <c r="D19" s="95"/>
      <c r="E19" s="95"/>
      <c r="F19" s="95"/>
      <c r="G19" s="95"/>
      <c r="H19" s="95"/>
      <c r="I19" s="90">
        <v>1.6</v>
      </c>
      <c r="J19" s="90"/>
      <c r="K19" s="90">
        <v>0.4</v>
      </c>
      <c r="L19" s="90"/>
      <c r="M19" s="90"/>
      <c r="N19" s="90"/>
      <c r="O19" s="90"/>
      <c r="P19" s="90"/>
      <c r="Q19" s="90"/>
      <c r="R19" s="90">
        <v>1.6</v>
      </c>
      <c r="S19" s="90"/>
      <c r="T19" s="90">
        <v>0.43</v>
      </c>
      <c r="U19" s="90"/>
      <c r="V19" s="90"/>
      <c r="W19" s="90"/>
      <c r="X19" s="65"/>
      <c r="Y19" s="65"/>
      <c r="Z19" s="65"/>
      <c r="AA19" s="65">
        <v>1.6</v>
      </c>
      <c r="AB19" s="65"/>
      <c r="AC19" s="65">
        <v>0.68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16"/>
    </row>
    <row r="20" spans="1:39" ht="15.75" customHeight="1" x14ac:dyDescent="0.2">
      <c r="A20" s="104"/>
      <c r="B20" s="147" t="s">
        <v>51</v>
      </c>
      <c r="C20" s="146" t="s">
        <v>59</v>
      </c>
      <c r="D20" s="95"/>
      <c r="E20" s="95"/>
      <c r="F20" s="95"/>
      <c r="G20" s="95"/>
      <c r="H20" s="95"/>
      <c r="I20" s="90">
        <v>13.6</v>
      </c>
      <c r="J20" s="90"/>
      <c r="K20" s="90">
        <v>3.52</v>
      </c>
      <c r="L20" s="90"/>
      <c r="M20" s="90"/>
      <c r="N20" s="90"/>
      <c r="O20" s="90"/>
      <c r="P20" s="90"/>
      <c r="Q20" s="90"/>
      <c r="R20" s="90">
        <v>13.6</v>
      </c>
      <c r="S20" s="90"/>
      <c r="T20" s="90">
        <v>14.16</v>
      </c>
      <c r="U20" s="90"/>
      <c r="V20" s="90"/>
      <c r="W20" s="90"/>
      <c r="X20" s="65"/>
      <c r="Y20" s="65"/>
      <c r="Z20" s="65"/>
      <c r="AA20" s="65">
        <v>13.6</v>
      </c>
      <c r="AB20" s="65"/>
      <c r="AC20" s="65">
        <v>11.03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16"/>
    </row>
    <row r="21" spans="1:39" ht="30" customHeight="1" x14ac:dyDescent="0.2">
      <c r="A21" s="104"/>
      <c r="B21" s="147" t="s">
        <v>52</v>
      </c>
      <c r="C21" s="146" t="s">
        <v>57</v>
      </c>
      <c r="D21" s="95"/>
      <c r="E21" s="95"/>
      <c r="F21" s="95"/>
      <c r="G21" s="95"/>
      <c r="H21" s="95"/>
      <c r="I21" s="185">
        <v>109.06</v>
      </c>
      <c r="J21" s="185"/>
      <c r="K21" s="185">
        <v>109</v>
      </c>
      <c r="L21" s="185"/>
      <c r="M21" s="185"/>
      <c r="N21" s="185"/>
      <c r="O21" s="185"/>
      <c r="P21" s="185"/>
      <c r="Q21" s="185"/>
      <c r="R21" s="185">
        <v>109.06</v>
      </c>
      <c r="S21" s="185"/>
      <c r="T21" s="185">
        <v>118.7</v>
      </c>
      <c r="U21" s="185"/>
      <c r="V21" s="185"/>
      <c r="W21" s="185"/>
      <c r="X21" s="123"/>
      <c r="Y21" s="123"/>
      <c r="Z21" s="123"/>
      <c r="AA21" s="123">
        <v>109.06</v>
      </c>
      <c r="AB21" s="123"/>
      <c r="AC21" s="123">
        <v>118.7</v>
      </c>
      <c r="AD21" s="123"/>
      <c r="AE21" s="123"/>
      <c r="AF21" s="123"/>
      <c r="AG21" s="123"/>
      <c r="AH21" s="123"/>
      <c r="AI21" s="123"/>
      <c r="AJ21" s="123"/>
      <c r="AK21" s="123"/>
      <c r="AL21" s="123"/>
      <c r="AM21" s="17"/>
    </row>
    <row r="22" spans="1:39" ht="15.75" customHeight="1" x14ac:dyDescent="0.2">
      <c r="A22" s="104">
        <v>2</v>
      </c>
      <c r="B22" s="149" t="s">
        <v>53</v>
      </c>
      <c r="C22" s="146"/>
      <c r="D22" s="95"/>
      <c r="E22" s="95"/>
      <c r="F22" s="95"/>
      <c r="G22" s="95"/>
      <c r="H22" s="9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7"/>
    </row>
    <row r="23" spans="1:39" ht="25.5" customHeight="1" x14ac:dyDescent="0.2">
      <c r="A23" s="104"/>
      <c r="B23" s="147" t="s">
        <v>54</v>
      </c>
      <c r="C23" s="146" t="s">
        <v>57</v>
      </c>
      <c r="D23" s="95"/>
      <c r="E23" s="95"/>
      <c r="F23" s="95"/>
      <c r="G23" s="95"/>
      <c r="H23" s="95"/>
      <c r="I23" s="185">
        <v>69.8</v>
      </c>
      <c r="J23" s="185"/>
      <c r="K23" s="185">
        <v>70</v>
      </c>
      <c r="L23" s="185"/>
      <c r="M23" s="185"/>
      <c r="N23" s="185"/>
      <c r="O23" s="185"/>
      <c r="P23" s="185"/>
      <c r="Q23" s="185"/>
      <c r="R23" s="185">
        <v>69.8</v>
      </c>
      <c r="S23" s="185"/>
      <c r="T23" s="185">
        <v>69.83</v>
      </c>
      <c r="U23" s="185"/>
      <c r="V23" s="185"/>
      <c r="W23" s="185"/>
      <c r="X23" s="123"/>
      <c r="Y23" s="123"/>
      <c r="Z23" s="123"/>
      <c r="AA23" s="123">
        <v>69.8</v>
      </c>
      <c r="AB23" s="123"/>
      <c r="AC23" s="123">
        <v>70</v>
      </c>
      <c r="AD23" s="123"/>
      <c r="AE23" s="123"/>
      <c r="AF23" s="123"/>
      <c r="AG23" s="123"/>
      <c r="AH23" s="123"/>
      <c r="AI23" s="123"/>
      <c r="AJ23" s="123"/>
      <c r="AK23" s="123"/>
      <c r="AL23" s="123"/>
      <c r="AM23" s="18"/>
    </row>
    <row r="24" spans="1:39" ht="34.5" customHeight="1" x14ac:dyDescent="0.2">
      <c r="A24" s="105"/>
      <c r="B24" s="150" t="s">
        <v>55</v>
      </c>
      <c r="C24" s="151" t="s">
        <v>57</v>
      </c>
      <c r="D24" s="136"/>
      <c r="E24" s="136"/>
      <c r="F24" s="136"/>
      <c r="G24" s="136"/>
      <c r="H24" s="136"/>
      <c r="I24" s="91">
        <v>16.18</v>
      </c>
      <c r="J24" s="91"/>
      <c r="K24" s="91">
        <v>15.4</v>
      </c>
      <c r="L24" s="91"/>
      <c r="M24" s="91"/>
      <c r="N24" s="91"/>
      <c r="O24" s="91"/>
      <c r="P24" s="91"/>
      <c r="Q24" s="91"/>
      <c r="R24" s="91">
        <v>16.18</v>
      </c>
      <c r="S24" s="91"/>
      <c r="T24" s="91">
        <v>21.9</v>
      </c>
      <c r="U24" s="91"/>
      <c r="V24" s="91"/>
      <c r="W24" s="91"/>
      <c r="X24" s="24"/>
      <c r="Y24" s="24"/>
      <c r="Z24" s="24"/>
      <c r="AA24" s="24">
        <v>16.18</v>
      </c>
      <c r="AB24" s="24"/>
      <c r="AC24" s="24">
        <v>18.809999999999999</v>
      </c>
      <c r="AD24" s="24"/>
      <c r="AE24" s="24"/>
      <c r="AF24" s="24"/>
      <c r="AG24" s="55"/>
      <c r="AH24" s="55"/>
      <c r="AI24" s="55"/>
      <c r="AJ24" s="24"/>
      <c r="AK24" s="24"/>
      <c r="AL24" s="24"/>
      <c r="AM24" s="25"/>
    </row>
    <row r="25" spans="1:39" s="44" customFormat="1" x14ac:dyDescent="0.2">
      <c r="A25" s="27" t="s">
        <v>6</v>
      </c>
      <c r="B25" s="137" t="s">
        <v>13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29"/>
      <c r="Y25" s="29"/>
      <c r="Z25" s="29"/>
      <c r="AA25" s="29"/>
      <c r="AB25" s="29"/>
      <c r="AC25" s="29"/>
      <c r="AD25" s="29"/>
      <c r="AE25" s="29"/>
      <c r="AF25" s="29"/>
      <c r="AG25" s="53"/>
      <c r="AH25" s="54"/>
      <c r="AI25" s="54"/>
      <c r="AJ25" s="42"/>
      <c r="AK25" s="42"/>
      <c r="AL25" s="42"/>
      <c r="AM25" s="43"/>
    </row>
    <row r="26" spans="1:39" ht="15.75" customHeight="1" x14ac:dyDescent="0.2">
      <c r="A26" s="35" t="s">
        <v>11</v>
      </c>
      <c r="B26" s="152" t="s">
        <v>60</v>
      </c>
      <c r="C26" s="153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26"/>
    </row>
    <row r="27" spans="1:39" ht="15.75" customHeight="1" x14ac:dyDescent="0.2">
      <c r="A27" s="31">
        <v>1</v>
      </c>
      <c r="B27" s="154" t="s">
        <v>144</v>
      </c>
      <c r="C27" s="155" t="s">
        <v>62</v>
      </c>
      <c r="D27" s="185">
        <f>SUM(D28:D34)</f>
        <v>120</v>
      </c>
      <c r="E27" s="185">
        <f>SUM(E28:E34)</f>
        <v>120</v>
      </c>
      <c r="F27" s="185">
        <f>SUM(F28:F34)</f>
        <v>120</v>
      </c>
      <c r="G27" s="185">
        <f>SUM(G28:G34)</f>
        <v>120</v>
      </c>
      <c r="H27" s="185">
        <f>SUM(H28:H34)</f>
        <v>120</v>
      </c>
      <c r="I27" s="185">
        <f t="shared" ref="I27:Q27" si="6">SUM(I28:I34)</f>
        <v>122</v>
      </c>
      <c r="J27" s="185">
        <f t="shared" si="6"/>
        <v>120</v>
      </c>
      <c r="K27" s="185">
        <f t="shared" si="6"/>
        <v>120</v>
      </c>
      <c r="L27" s="185">
        <f t="shared" si="6"/>
        <v>122</v>
      </c>
      <c r="M27" s="185">
        <f t="shared" si="6"/>
        <v>120</v>
      </c>
      <c r="N27" s="185">
        <f t="shared" si="6"/>
        <v>120</v>
      </c>
      <c r="O27" s="185">
        <f t="shared" si="6"/>
        <v>120</v>
      </c>
      <c r="P27" s="185">
        <f t="shared" si="6"/>
        <v>120</v>
      </c>
      <c r="Q27" s="185">
        <f t="shared" si="6"/>
        <v>120</v>
      </c>
      <c r="R27" s="185">
        <v>120</v>
      </c>
      <c r="S27" s="185">
        <f t="shared" ref="S27:T27" si="7">SUM(S28:S34)</f>
        <v>120</v>
      </c>
      <c r="T27" s="185">
        <f t="shared" si="7"/>
        <v>120</v>
      </c>
      <c r="U27" s="185">
        <v>120</v>
      </c>
      <c r="V27" s="185">
        <v>120</v>
      </c>
      <c r="W27" s="185">
        <v>120</v>
      </c>
      <c r="X27" s="123">
        <v>120</v>
      </c>
      <c r="Y27" s="123">
        <v>120</v>
      </c>
      <c r="Z27" s="123">
        <v>120</v>
      </c>
      <c r="AA27" s="123">
        <v>120</v>
      </c>
      <c r="AB27" s="123">
        <v>120</v>
      </c>
      <c r="AC27" s="123">
        <v>120</v>
      </c>
      <c r="AD27" s="123">
        <v>120</v>
      </c>
      <c r="AE27" s="123">
        <v>120</v>
      </c>
      <c r="AF27" s="123">
        <v>120</v>
      </c>
      <c r="AG27" s="123">
        <v>122</v>
      </c>
      <c r="AH27" s="123">
        <v>120</v>
      </c>
      <c r="AI27" s="123">
        <v>120</v>
      </c>
      <c r="AJ27" s="123"/>
      <c r="AK27" s="123"/>
      <c r="AL27" s="123"/>
      <c r="AM27" s="18"/>
    </row>
    <row r="28" spans="1:39" ht="15.75" customHeight="1" x14ac:dyDescent="0.2">
      <c r="A28" s="32"/>
      <c r="B28" s="156" t="s">
        <v>63</v>
      </c>
      <c r="C28" s="157" t="s">
        <v>64</v>
      </c>
      <c r="D28" s="185">
        <v>1</v>
      </c>
      <c r="E28" s="185">
        <v>1</v>
      </c>
      <c r="F28" s="185">
        <v>1</v>
      </c>
      <c r="G28" s="185">
        <v>1</v>
      </c>
      <c r="H28" s="185">
        <v>1</v>
      </c>
      <c r="I28" s="185">
        <v>1</v>
      </c>
      <c r="J28" s="185">
        <v>1</v>
      </c>
      <c r="K28" s="185">
        <v>1</v>
      </c>
      <c r="L28" s="185">
        <v>1</v>
      </c>
      <c r="M28" s="185">
        <v>1</v>
      </c>
      <c r="N28" s="185">
        <v>1</v>
      </c>
      <c r="O28" s="185">
        <v>1</v>
      </c>
      <c r="P28" s="185">
        <v>1</v>
      </c>
      <c r="Q28" s="185">
        <v>1</v>
      </c>
      <c r="R28" s="185">
        <v>1</v>
      </c>
      <c r="S28" s="185">
        <v>1</v>
      </c>
      <c r="T28" s="185">
        <v>1</v>
      </c>
      <c r="U28" s="185">
        <v>1</v>
      </c>
      <c r="V28" s="185">
        <v>1</v>
      </c>
      <c r="W28" s="185">
        <v>1</v>
      </c>
      <c r="X28" s="123">
        <v>1</v>
      </c>
      <c r="Y28" s="123">
        <v>1</v>
      </c>
      <c r="Z28" s="123">
        <v>1</v>
      </c>
      <c r="AA28" s="123">
        <v>1</v>
      </c>
      <c r="AB28" s="123">
        <v>1</v>
      </c>
      <c r="AC28" s="123">
        <v>1</v>
      </c>
      <c r="AD28" s="123">
        <v>1</v>
      </c>
      <c r="AE28" s="123">
        <v>1</v>
      </c>
      <c r="AF28" s="123">
        <v>1</v>
      </c>
      <c r="AG28" s="123">
        <v>1</v>
      </c>
      <c r="AH28" s="123">
        <v>1</v>
      </c>
      <c r="AI28" s="123">
        <v>1</v>
      </c>
      <c r="AJ28" s="123"/>
      <c r="AK28" s="123"/>
      <c r="AL28" s="123"/>
      <c r="AM28" s="18"/>
    </row>
    <row r="29" spans="1:39" ht="15.75" customHeight="1" x14ac:dyDescent="0.2">
      <c r="A29" s="32"/>
      <c r="B29" s="156" t="s">
        <v>65</v>
      </c>
      <c r="C29" s="157" t="s">
        <v>64</v>
      </c>
      <c r="D29" s="185">
        <v>2</v>
      </c>
      <c r="E29" s="185">
        <v>2</v>
      </c>
      <c r="F29" s="185">
        <v>2</v>
      </c>
      <c r="G29" s="185">
        <v>2</v>
      </c>
      <c r="H29" s="185">
        <v>2</v>
      </c>
      <c r="I29" s="185">
        <v>2</v>
      </c>
      <c r="J29" s="185">
        <v>2</v>
      </c>
      <c r="K29" s="185">
        <v>2</v>
      </c>
      <c r="L29" s="185">
        <v>2</v>
      </c>
      <c r="M29" s="185">
        <v>2</v>
      </c>
      <c r="N29" s="185">
        <v>2</v>
      </c>
      <c r="O29" s="185">
        <v>2</v>
      </c>
      <c r="P29" s="185">
        <v>2</v>
      </c>
      <c r="Q29" s="185">
        <v>2</v>
      </c>
      <c r="R29" s="185">
        <v>2</v>
      </c>
      <c r="S29" s="185">
        <v>2</v>
      </c>
      <c r="T29" s="185">
        <v>2</v>
      </c>
      <c r="U29" s="185">
        <v>2</v>
      </c>
      <c r="V29" s="185">
        <v>2</v>
      </c>
      <c r="W29" s="185">
        <v>2</v>
      </c>
      <c r="X29" s="123">
        <v>2</v>
      </c>
      <c r="Y29" s="123">
        <v>2</v>
      </c>
      <c r="Z29" s="123">
        <v>2</v>
      </c>
      <c r="AA29" s="123">
        <v>2</v>
      </c>
      <c r="AB29" s="123">
        <v>2</v>
      </c>
      <c r="AC29" s="123">
        <v>2</v>
      </c>
      <c r="AD29" s="123">
        <v>2</v>
      </c>
      <c r="AE29" s="123">
        <v>2</v>
      </c>
      <c r="AF29" s="123">
        <v>2</v>
      </c>
      <c r="AG29" s="123">
        <v>2</v>
      </c>
      <c r="AH29" s="123">
        <v>2</v>
      </c>
      <c r="AI29" s="123">
        <v>2</v>
      </c>
      <c r="AJ29" s="123"/>
      <c r="AK29" s="123"/>
      <c r="AL29" s="123"/>
      <c r="AM29" s="18"/>
    </row>
    <row r="30" spans="1:39" ht="15.75" customHeight="1" x14ac:dyDescent="0.2">
      <c r="A30" s="32"/>
      <c r="B30" s="158" t="s">
        <v>121</v>
      </c>
      <c r="C30" s="157" t="s">
        <v>66</v>
      </c>
      <c r="D30" s="185">
        <v>1</v>
      </c>
      <c r="E30" s="185">
        <v>1</v>
      </c>
      <c r="F30" s="185">
        <v>1</v>
      </c>
      <c r="G30" s="185">
        <v>1</v>
      </c>
      <c r="H30" s="185">
        <v>1</v>
      </c>
      <c r="I30" s="185">
        <v>1</v>
      </c>
      <c r="J30" s="185">
        <v>1</v>
      </c>
      <c r="K30" s="185">
        <v>1</v>
      </c>
      <c r="L30" s="185">
        <v>1</v>
      </c>
      <c r="M30" s="185">
        <v>1</v>
      </c>
      <c r="N30" s="185">
        <v>1</v>
      </c>
      <c r="O30" s="185">
        <v>1</v>
      </c>
      <c r="P30" s="185">
        <v>1</v>
      </c>
      <c r="Q30" s="185">
        <v>1</v>
      </c>
      <c r="R30" s="185">
        <v>1</v>
      </c>
      <c r="S30" s="185">
        <v>1</v>
      </c>
      <c r="T30" s="185">
        <v>1</v>
      </c>
      <c r="U30" s="185">
        <v>1</v>
      </c>
      <c r="V30" s="185">
        <v>1</v>
      </c>
      <c r="W30" s="185">
        <v>1</v>
      </c>
      <c r="X30" s="123">
        <v>1</v>
      </c>
      <c r="Y30" s="123">
        <v>1</v>
      </c>
      <c r="Z30" s="123">
        <v>1</v>
      </c>
      <c r="AA30" s="123">
        <v>1</v>
      </c>
      <c r="AB30" s="123">
        <v>1</v>
      </c>
      <c r="AC30" s="123">
        <v>1</v>
      </c>
      <c r="AD30" s="123">
        <v>1</v>
      </c>
      <c r="AE30" s="123">
        <v>1</v>
      </c>
      <c r="AF30" s="123">
        <v>1</v>
      </c>
      <c r="AG30" s="123">
        <v>1</v>
      </c>
      <c r="AH30" s="123">
        <v>1</v>
      </c>
      <c r="AI30" s="123">
        <v>1</v>
      </c>
      <c r="AJ30" s="123"/>
      <c r="AK30" s="123"/>
      <c r="AL30" s="123"/>
      <c r="AM30" s="18"/>
    </row>
    <row r="31" spans="1:39" ht="15.75" customHeight="1" x14ac:dyDescent="0.2">
      <c r="A31" s="32"/>
      <c r="B31" s="156" t="s">
        <v>122</v>
      </c>
      <c r="C31" s="157" t="s">
        <v>66</v>
      </c>
      <c r="D31" s="185">
        <v>8</v>
      </c>
      <c r="E31" s="185">
        <v>8</v>
      </c>
      <c r="F31" s="185">
        <v>8</v>
      </c>
      <c r="G31" s="185">
        <v>8</v>
      </c>
      <c r="H31" s="185">
        <v>8</v>
      </c>
      <c r="I31" s="185">
        <v>8</v>
      </c>
      <c r="J31" s="185">
        <v>8</v>
      </c>
      <c r="K31" s="185">
        <v>8</v>
      </c>
      <c r="L31" s="185">
        <v>8</v>
      </c>
      <c r="M31" s="185">
        <v>8</v>
      </c>
      <c r="N31" s="185">
        <v>8</v>
      </c>
      <c r="O31" s="185">
        <v>8</v>
      </c>
      <c r="P31" s="185">
        <v>8</v>
      </c>
      <c r="Q31" s="185">
        <v>8</v>
      </c>
      <c r="R31" s="185">
        <v>8</v>
      </c>
      <c r="S31" s="185">
        <v>8</v>
      </c>
      <c r="T31" s="185">
        <v>8</v>
      </c>
      <c r="U31" s="185">
        <v>8</v>
      </c>
      <c r="V31" s="185">
        <v>8</v>
      </c>
      <c r="W31" s="185">
        <v>8</v>
      </c>
      <c r="X31" s="123">
        <v>8</v>
      </c>
      <c r="Y31" s="123">
        <v>8</v>
      </c>
      <c r="Z31" s="123">
        <v>8</v>
      </c>
      <c r="AA31" s="123">
        <v>8</v>
      </c>
      <c r="AB31" s="123">
        <v>8</v>
      </c>
      <c r="AC31" s="123">
        <v>8</v>
      </c>
      <c r="AD31" s="123">
        <v>8</v>
      </c>
      <c r="AE31" s="123">
        <v>8</v>
      </c>
      <c r="AF31" s="123">
        <v>8</v>
      </c>
      <c r="AG31" s="123">
        <v>8</v>
      </c>
      <c r="AH31" s="123">
        <v>8</v>
      </c>
      <c r="AI31" s="123">
        <v>8</v>
      </c>
      <c r="AJ31" s="123"/>
      <c r="AK31" s="123"/>
      <c r="AL31" s="123"/>
      <c r="AM31" s="18"/>
    </row>
    <row r="32" spans="1:39" ht="15.75" customHeight="1" x14ac:dyDescent="0.2">
      <c r="A32" s="32"/>
      <c r="B32" s="158" t="s">
        <v>120</v>
      </c>
      <c r="C32" s="157" t="s">
        <v>66</v>
      </c>
      <c r="D32" s="185">
        <v>1</v>
      </c>
      <c r="E32" s="185">
        <v>1</v>
      </c>
      <c r="F32" s="185">
        <v>1</v>
      </c>
      <c r="G32" s="185">
        <v>1</v>
      </c>
      <c r="H32" s="185">
        <v>1</v>
      </c>
      <c r="I32" s="185">
        <v>1</v>
      </c>
      <c r="J32" s="185">
        <v>1</v>
      </c>
      <c r="K32" s="185">
        <v>1</v>
      </c>
      <c r="L32" s="185">
        <v>1</v>
      </c>
      <c r="M32" s="185">
        <v>1</v>
      </c>
      <c r="N32" s="185">
        <v>1</v>
      </c>
      <c r="O32" s="185">
        <v>1</v>
      </c>
      <c r="P32" s="185">
        <v>1</v>
      </c>
      <c r="Q32" s="185">
        <v>1</v>
      </c>
      <c r="R32" s="185">
        <v>1</v>
      </c>
      <c r="S32" s="185">
        <v>1</v>
      </c>
      <c r="T32" s="185">
        <v>1</v>
      </c>
      <c r="U32" s="185">
        <v>1</v>
      </c>
      <c r="V32" s="185">
        <v>1</v>
      </c>
      <c r="W32" s="185">
        <v>1</v>
      </c>
      <c r="X32" s="123">
        <v>1</v>
      </c>
      <c r="Y32" s="123">
        <v>1</v>
      </c>
      <c r="Z32" s="123">
        <v>1</v>
      </c>
      <c r="AA32" s="123">
        <v>1</v>
      </c>
      <c r="AB32" s="123">
        <v>1</v>
      </c>
      <c r="AC32" s="123">
        <v>1</v>
      </c>
      <c r="AD32" s="123">
        <v>1</v>
      </c>
      <c r="AE32" s="123">
        <v>1</v>
      </c>
      <c r="AF32" s="123">
        <v>1</v>
      </c>
      <c r="AG32" s="123">
        <v>1</v>
      </c>
      <c r="AH32" s="123">
        <v>1</v>
      </c>
      <c r="AI32" s="123">
        <v>1</v>
      </c>
      <c r="AJ32" s="123"/>
      <c r="AK32" s="123"/>
      <c r="AL32" s="123"/>
      <c r="AM32" s="18"/>
    </row>
    <row r="33" spans="1:40" ht="15.75" customHeight="1" x14ac:dyDescent="0.2">
      <c r="A33" s="32"/>
      <c r="B33" s="159" t="s">
        <v>67</v>
      </c>
      <c r="C33" s="157" t="s">
        <v>68</v>
      </c>
      <c r="D33" s="185">
        <v>4</v>
      </c>
      <c r="E33" s="185">
        <v>4</v>
      </c>
      <c r="F33" s="185">
        <v>4</v>
      </c>
      <c r="G33" s="185">
        <v>4</v>
      </c>
      <c r="H33" s="185">
        <v>4</v>
      </c>
      <c r="I33" s="185">
        <v>4</v>
      </c>
      <c r="J33" s="185">
        <v>4</v>
      </c>
      <c r="K33" s="185">
        <v>4</v>
      </c>
      <c r="L33" s="185">
        <v>4</v>
      </c>
      <c r="M33" s="185">
        <v>4</v>
      </c>
      <c r="N33" s="185">
        <v>4</v>
      </c>
      <c r="O33" s="185">
        <v>4</v>
      </c>
      <c r="P33" s="185">
        <v>4</v>
      </c>
      <c r="Q33" s="185">
        <v>4</v>
      </c>
      <c r="R33" s="185">
        <v>4</v>
      </c>
      <c r="S33" s="185">
        <v>4</v>
      </c>
      <c r="T33" s="185">
        <v>4</v>
      </c>
      <c r="U33" s="185">
        <v>4</v>
      </c>
      <c r="V33" s="185">
        <v>4</v>
      </c>
      <c r="W33" s="185">
        <v>4</v>
      </c>
      <c r="X33" s="123">
        <v>4</v>
      </c>
      <c r="Y33" s="123">
        <v>4</v>
      </c>
      <c r="Z33" s="123">
        <v>4</v>
      </c>
      <c r="AA33" s="123">
        <v>4</v>
      </c>
      <c r="AB33" s="123">
        <v>4</v>
      </c>
      <c r="AC33" s="123">
        <v>4</v>
      </c>
      <c r="AD33" s="123">
        <v>4</v>
      </c>
      <c r="AE33" s="123">
        <v>4</v>
      </c>
      <c r="AF33" s="123">
        <v>4</v>
      </c>
      <c r="AG33" s="123">
        <v>4</v>
      </c>
      <c r="AH33" s="123">
        <v>4</v>
      </c>
      <c r="AI33" s="123">
        <v>4</v>
      </c>
      <c r="AJ33" s="123"/>
      <c r="AK33" s="123"/>
      <c r="AL33" s="123"/>
      <c r="AM33" s="18"/>
    </row>
    <row r="34" spans="1:40" ht="15.75" customHeight="1" x14ac:dyDescent="0.2">
      <c r="A34" s="32"/>
      <c r="B34" s="159" t="s">
        <v>69</v>
      </c>
      <c r="C34" s="157" t="s">
        <v>70</v>
      </c>
      <c r="D34" s="185">
        <v>103</v>
      </c>
      <c r="E34" s="185">
        <v>103</v>
      </c>
      <c r="F34" s="185">
        <v>103</v>
      </c>
      <c r="G34" s="185">
        <v>103</v>
      </c>
      <c r="H34" s="185">
        <v>103</v>
      </c>
      <c r="I34" s="185">
        <v>105</v>
      </c>
      <c r="J34" s="185">
        <v>103</v>
      </c>
      <c r="K34" s="185">
        <v>103</v>
      </c>
      <c r="L34" s="185">
        <v>105</v>
      </c>
      <c r="M34" s="185">
        <v>103</v>
      </c>
      <c r="N34" s="185">
        <v>103</v>
      </c>
      <c r="O34" s="185">
        <v>103</v>
      </c>
      <c r="P34" s="185">
        <v>103</v>
      </c>
      <c r="Q34" s="185">
        <v>103</v>
      </c>
      <c r="R34" s="185">
        <v>103</v>
      </c>
      <c r="S34" s="185">
        <v>103</v>
      </c>
      <c r="T34" s="185">
        <v>103</v>
      </c>
      <c r="U34" s="185">
        <v>103</v>
      </c>
      <c r="V34" s="185">
        <v>103</v>
      </c>
      <c r="W34" s="185">
        <v>103</v>
      </c>
      <c r="X34" s="123">
        <v>103</v>
      </c>
      <c r="Y34" s="123">
        <v>103</v>
      </c>
      <c r="Z34" s="123">
        <v>103</v>
      </c>
      <c r="AA34" s="123">
        <v>103</v>
      </c>
      <c r="AB34" s="123">
        <v>103</v>
      </c>
      <c r="AC34" s="123">
        <v>103</v>
      </c>
      <c r="AD34" s="123">
        <v>103</v>
      </c>
      <c r="AE34" s="123">
        <v>103</v>
      </c>
      <c r="AF34" s="123">
        <v>103</v>
      </c>
      <c r="AG34" s="123">
        <v>105</v>
      </c>
      <c r="AH34" s="123">
        <v>103</v>
      </c>
      <c r="AI34" s="123">
        <v>103</v>
      </c>
      <c r="AJ34" s="123"/>
      <c r="AK34" s="123"/>
      <c r="AL34" s="123"/>
      <c r="AM34" s="18"/>
    </row>
    <row r="35" spans="1:40" ht="15.75" customHeight="1" x14ac:dyDescent="0.2">
      <c r="A35" s="32"/>
      <c r="B35" s="159" t="s">
        <v>135</v>
      </c>
      <c r="C35" s="157" t="s">
        <v>57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8"/>
    </row>
    <row r="36" spans="1:40" ht="15.75" customHeight="1" x14ac:dyDescent="0.2">
      <c r="A36" s="31">
        <v>2</v>
      </c>
      <c r="B36" s="154" t="s">
        <v>71</v>
      </c>
      <c r="C36" s="155" t="s">
        <v>62</v>
      </c>
      <c r="D36" s="185">
        <v>2</v>
      </c>
      <c r="E36" s="185">
        <v>2</v>
      </c>
      <c r="F36" s="185">
        <v>2</v>
      </c>
      <c r="G36" s="185">
        <v>2</v>
      </c>
      <c r="H36" s="185">
        <v>2</v>
      </c>
      <c r="I36" s="185">
        <v>2</v>
      </c>
      <c r="J36" s="185">
        <v>2</v>
      </c>
      <c r="K36" s="185">
        <v>2</v>
      </c>
      <c r="L36" s="185">
        <v>2</v>
      </c>
      <c r="M36" s="185">
        <v>2</v>
      </c>
      <c r="N36" s="185">
        <v>2</v>
      </c>
      <c r="O36" s="185">
        <v>2</v>
      </c>
      <c r="P36" s="185">
        <v>2</v>
      </c>
      <c r="Q36" s="185">
        <v>2</v>
      </c>
      <c r="R36" s="185">
        <v>2</v>
      </c>
      <c r="S36" s="185">
        <v>2</v>
      </c>
      <c r="T36" s="185">
        <v>2</v>
      </c>
      <c r="U36" s="185">
        <v>2</v>
      </c>
      <c r="V36" s="185">
        <v>2</v>
      </c>
      <c r="W36" s="185">
        <v>2</v>
      </c>
      <c r="X36" s="123">
        <v>2</v>
      </c>
      <c r="Y36" s="123">
        <v>2</v>
      </c>
      <c r="Z36" s="123">
        <v>2</v>
      </c>
      <c r="AA36" s="123">
        <v>2</v>
      </c>
      <c r="AB36" s="123">
        <v>2</v>
      </c>
      <c r="AC36" s="123">
        <v>2</v>
      </c>
      <c r="AD36" s="123">
        <v>2</v>
      </c>
      <c r="AE36" s="123">
        <v>2</v>
      </c>
      <c r="AF36" s="123">
        <v>2</v>
      </c>
      <c r="AG36" s="123">
        <v>2</v>
      </c>
      <c r="AH36" s="123">
        <v>2</v>
      </c>
      <c r="AI36" s="123">
        <v>2</v>
      </c>
      <c r="AJ36" s="123"/>
      <c r="AK36" s="123"/>
      <c r="AL36" s="123"/>
      <c r="AM36" s="18"/>
    </row>
    <row r="37" spans="1:40" ht="15.75" customHeight="1" x14ac:dyDescent="0.2">
      <c r="A37" s="31">
        <v>3</v>
      </c>
      <c r="B37" s="160" t="s">
        <v>72</v>
      </c>
      <c r="C37" s="155" t="s">
        <v>73</v>
      </c>
      <c r="D37" s="185">
        <f t="shared" ref="D37:Q37" si="8">D38+D39</f>
        <v>1590</v>
      </c>
      <c r="E37" s="185">
        <f t="shared" si="8"/>
        <v>1590</v>
      </c>
      <c r="F37" s="185">
        <f t="shared" si="8"/>
        <v>1590</v>
      </c>
      <c r="G37" s="185">
        <f t="shared" si="8"/>
        <v>1590</v>
      </c>
      <c r="H37" s="185">
        <f t="shared" si="8"/>
        <v>1590</v>
      </c>
      <c r="I37" s="185">
        <f t="shared" si="8"/>
        <v>1580</v>
      </c>
      <c r="J37" s="185">
        <f t="shared" si="8"/>
        <v>1590</v>
      </c>
      <c r="K37" s="185">
        <f t="shared" si="8"/>
        <v>1590</v>
      </c>
      <c r="L37" s="185">
        <f t="shared" si="8"/>
        <v>1580</v>
      </c>
      <c r="M37" s="185">
        <f t="shared" si="8"/>
        <v>1590</v>
      </c>
      <c r="N37" s="185">
        <f t="shared" si="8"/>
        <v>1590</v>
      </c>
      <c r="O37" s="185">
        <f t="shared" si="8"/>
        <v>1580</v>
      </c>
      <c r="P37" s="185">
        <f t="shared" si="8"/>
        <v>1590</v>
      </c>
      <c r="Q37" s="185">
        <f t="shared" si="8"/>
        <v>1590</v>
      </c>
      <c r="R37" s="185">
        <v>1580</v>
      </c>
      <c r="S37" s="185">
        <f t="shared" ref="S37:T37" si="9">S38+S39</f>
        <v>1590</v>
      </c>
      <c r="T37" s="185">
        <f t="shared" si="9"/>
        <v>1590</v>
      </c>
      <c r="U37" s="185">
        <v>1580</v>
      </c>
      <c r="V37" s="185">
        <v>1580</v>
      </c>
      <c r="W37" s="185">
        <v>1580</v>
      </c>
      <c r="X37" s="123">
        <v>1580</v>
      </c>
      <c r="Y37" s="123">
        <f>Y38+Y39</f>
        <v>1590</v>
      </c>
      <c r="Z37" s="123">
        <f>Z38+Z39</f>
        <v>1590</v>
      </c>
      <c r="AA37" s="123">
        <f t="shared" ref="AA37:AC37" si="10">AA38+AA39</f>
        <v>1580</v>
      </c>
      <c r="AB37" s="123">
        <f t="shared" si="10"/>
        <v>1590</v>
      </c>
      <c r="AC37" s="123">
        <f t="shared" si="10"/>
        <v>1590</v>
      </c>
      <c r="AD37" s="123">
        <v>1580</v>
      </c>
      <c r="AE37" s="123">
        <f t="shared" ref="AE37:AF37" si="11">AE38+AE39</f>
        <v>1590</v>
      </c>
      <c r="AF37" s="123">
        <f t="shared" si="11"/>
        <v>1590</v>
      </c>
      <c r="AG37" s="123">
        <v>1450</v>
      </c>
      <c r="AH37" s="123">
        <v>1580</v>
      </c>
      <c r="AI37" s="123">
        <v>1580</v>
      </c>
      <c r="AJ37" s="123"/>
      <c r="AK37" s="123"/>
      <c r="AL37" s="123"/>
      <c r="AM37" s="18"/>
    </row>
    <row r="38" spans="1:40" ht="15.75" customHeight="1" x14ac:dyDescent="0.2">
      <c r="A38" s="31"/>
      <c r="B38" s="160" t="s">
        <v>74</v>
      </c>
      <c r="C38" s="155" t="s">
        <v>73</v>
      </c>
      <c r="D38" s="185">
        <v>670</v>
      </c>
      <c r="E38" s="185">
        <v>670</v>
      </c>
      <c r="F38" s="185">
        <v>670</v>
      </c>
      <c r="G38" s="185">
        <v>670</v>
      </c>
      <c r="H38" s="185">
        <v>670</v>
      </c>
      <c r="I38" s="185">
        <v>660</v>
      </c>
      <c r="J38" s="185">
        <v>670</v>
      </c>
      <c r="K38" s="185">
        <v>670</v>
      </c>
      <c r="L38" s="185">
        <v>660</v>
      </c>
      <c r="M38" s="185">
        <v>670</v>
      </c>
      <c r="N38" s="185">
        <v>670</v>
      </c>
      <c r="O38" s="185">
        <v>660</v>
      </c>
      <c r="P38" s="185">
        <v>670</v>
      </c>
      <c r="Q38" s="185">
        <v>670</v>
      </c>
      <c r="R38" s="185">
        <v>660</v>
      </c>
      <c r="S38" s="185">
        <v>670</v>
      </c>
      <c r="T38" s="185">
        <v>670</v>
      </c>
      <c r="U38" s="185">
        <v>660</v>
      </c>
      <c r="V38" s="185">
        <v>660</v>
      </c>
      <c r="W38" s="185">
        <v>660</v>
      </c>
      <c r="X38" s="123">
        <v>660</v>
      </c>
      <c r="Y38" s="123">
        <v>670</v>
      </c>
      <c r="Z38" s="123">
        <v>670</v>
      </c>
      <c r="AA38" s="123">
        <v>660</v>
      </c>
      <c r="AB38" s="123">
        <v>670</v>
      </c>
      <c r="AC38" s="123">
        <v>670</v>
      </c>
      <c r="AD38" s="123">
        <v>660</v>
      </c>
      <c r="AE38" s="123">
        <v>670</v>
      </c>
      <c r="AF38" s="123">
        <v>670</v>
      </c>
      <c r="AG38" s="123">
        <v>590</v>
      </c>
      <c r="AH38" s="123">
        <v>660</v>
      </c>
      <c r="AI38" s="123">
        <v>660</v>
      </c>
      <c r="AJ38" s="123"/>
      <c r="AK38" s="123"/>
      <c r="AL38" s="123"/>
      <c r="AM38" s="18"/>
    </row>
    <row r="39" spans="1:40" ht="15.75" customHeight="1" x14ac:dyDescent="0.2">
      <c r="A39" s="31"/>
      <c r="B39" s="160" t="s">
        <v>75</v>
      </c>
      <c r="C39" s="155" t="s">
        <v>73</v>
      </c>
      <c r="D39" s="185">
        <f>D40+D41</f>
        <v>920</v>
      </c>
      <c r="E39" s="185">
        <f>E40+E41</f>
        <v>920</v>
      </c>
      <c r="F39" s="185">
        <f>F40+F41</f>
        <v>920</v>
      </c>
      <c r="G39" s="185">
        <f>G40+G41</f>
        <v>920</v>
      </c>
      <c r="H39" s="185">
        <f>H40+H41</f>
        <v>920</v>
      </c>
      <c r="I39" s="185">
        <f t="shared" ref="I39:Q39" si="12">I40+I41</f>
        <v>920</v>
      </c>
      <c r="J39" s="185">
        <f t="shared" si="12"/>
        <v>920</v>
      </c>
      <c r="K39" s="185">
        <f t="shared" si="12"/>
        <v>920</v>
      </c>
      <c r="L39" s="185">
        <f t="shared" si="12"/>
        <v>920</v>
      </c>
      <c r="M39" s="185">
        <f t="shared" si="12"/>
        <v>920</v>
      </c>
      <c r="N39" s="185">
        <f t="shared" si="12"/>
        <v>920</v>
      </c>
      <c r="O39" s="185">
        <f t="shared" si="12"/>
        <v>920</v>
      </c>
      <c r="P39" s="185">
        <f t="shared" si="12"/>
        <v>920</v>
      </c>
      <c r="Q39" s="185">
        <f t="shared" si="12"/>
        <v>920</v>
      </c>
      <c r="R39" s="185">
        <v>920</v>
      </c>
      <c r="S39" s="185">
        <f t="shared" ref="S39:T39" si="13">S40+S41</f>
        <v>920</v>
      </c>
      <c r="T39" s="185">
        <f t="shared" si="13"/>
        <v>920</v>
      </c>
      <c r="U39" s="185">
        <v>920</v>
      </c>
      <c r="V39" s="185">
        <v>920</v>
      </c>
      <c r="W39" s="185">
        <v>920</v>
      </c>
      <c r="X39" s="123">
        <v>920</v>
      </c>
      <c r="Y39" s="123">
        <v>920</v>
      </c>
      <c r="Z39" s="123">
        <v>920</v>
      </c>
      <c r="AA39" s="123">
        <v>920</v>
      </c>
      <c r="AB39" s="123">
        <v>920</v>
      </c>
      <c r="AC39" s="123">
        <v>920</v>
      </c>
      <c r="AD39" s="123">
        <v>920</v>
      </c>
      <c r="AE39" s="123">
        <v>920</v>
      </c>
      <c r="AF39" s="123">
        <v>920</v>
      </c>
      <c r="AG39" s="123">
        <v>860</v>
      </c>
      <c r="AH39" s="123">
        <v>920</v>
      </c>
      <c r="AI39" s="123">
        <v>920</v>
      </c>
      <c r="AJ39" s="123"/>
      <c r="AK39" s="123"/>
      <c r="AL39" s="123"/>
      <c r="AM39" s="18"/>
    </row>
    <row r="40" spans="1:40" ht="15.75" customHeight="1" x14ac:dyDescent="0.2">
      <c r="A40" s="32"/>
      <c r="B40" s="156" t="s">
        <v>76</v>
      </c>
      <c r="C40" s="155" t="s">
        <v>73</v>
      </c>
      <c r="D40" s="185">
        <v>860</v>
      </c>
      <c r="E40" s="185">
        <v>860</v>
      </c>
      <c r="F40" s="185">
        <v>860</v>
      </c>
      <c r="G40" s="185">
        <v>860</v>
      </c>
      <c r="H40" s="185">
        <v>860</v>
      </c>
      <c r="I40" s="185">
        <v>860</v>
      </c>
      <c r="J40" s="185">
        <v>860</v>
      </c>
      <c r="K40" s="185">
        <v>860</v>
      </c>
      <c r="L40" s="185">
        <v>860</v>
      </c>
      <c r="M40" s="185">
        <v>860</v>
      </c>
      <c r="N40" s="185">
        <v>860</v>
      </c>
      <c r="O40" s="185">
        <v>860</v>
      </c>
      <c r="P40" s="185">
        <v>860</v>
      </c>
      <c r="Q40" s="185">
        <v>860</v>
      </c>
      <c r="R40" s="185">
        <v>860</v>
      </c>
      <c r="S40" s="185">
        <v>860</v>
      </c>
      <c r="T40" s="185">
        <v>860</v>
      </c>
      <c r="U40" s="185">
        <v>860</v>
      </c>
      <c r="V40" s="185">
        <v>860</v>
      </c>
      <c r="W40" s="185">
        <v>860</v>
      </c>
      <c r="X40" s="123">
        <v>860</v>
      </c>
      <c r="Y40" s="123">
        <v>860</v>
      </c>
      <c r="Z40" s="123">
        <v>860</v>
      </c>
      <c r="AA40" s="123">
        <v>860</v>
      </c>
      <c r="AB40" s="123">
        <v>860</v>
      </c>
      <c r="AC40" s="123">
        <v>860</v>
      </c>
      <c r="AD40" s="123">
        <v>860</v>
      </c>
      <c r="AE40" s="123">
        <v>860</v>
      </c>
      <c r="AF40" s="123">
        <v>860</v>
      </c>
      <c r="AG40" s="123">
        <v>800</v>
      </c>
      <c r="AH40" s="123">
        <v>860</v>
      </c>
      <c r="AI40" s="123">
        <v>860</v>
      </c>
      <c r="AJ40" s="123"/>
      <c r="AK40" s="123"/>
      <c r="AL40" s="123"/>
      <c r="AM40" s="18"/>
    </row>
    <row r="41" spans="1:40" ht="15.75" customHeight="1" x14ac:dyDescent="0.2">
      <c r="A41" s="32"/>
      <c r="B41" s="161" t="s">
        <v>119</v>
      </c>
      <c r="C41" s="157" t="s">
        <v>73</v>
      </c>
      <c r="D41" s="185">
        <v>60</v>
      </c>
      <c r="E41" s="185">
        <v>60</v>
      </c>
      <c r="F41" s="185">
        <v>60</v>
      </c>
      <c r="G41" s="185">
        <v>60</v>
      </c>
      <c r="H41" s="185">
        <v>60</v>
      </c>
      <c r="I41" s="185">
        <v>60</v>
      </c>
      <c r="J41" s="185">
        <v>60</v>
      </c>
      <c r="K41" s="185">
        <v>60</v>
      </c>
      <c r="L41" s="185">
        <v>60</v>
      </c>
      <c r="M41" s="185">
        <v>60</v>
      </c>
      <c r="N41" s="185">
        <v>60</v>
      </c>
      <c r="O41" s="185">
        <v>60</v>
      </c>
      <c r="P41" s="185">
        <v>60</v>
      </c>
      <c r="Q41" s="185">
        <v>60</v>
      </c>
      <c r="R41" s="185">
        <v>60</v>
      </c>
      <c r="S41" s="185">
        <v>60</v>
      </c>
      <c r="T41" s="185">
        <v>60</v>
      </c>
      <c r="U41" s="185">
        <v>60</v>
      </c>
      <c r="V41" s="185">
        <v>60</v>
      </c>
      <c r="W41" s="185">
        <v>60</v>
      </c>
      <c r="X41" s="123">
        <v>60</v>
      </c>
      <c r="Y41" s="123">
        <v>60</v>
      </c>
      <c r="Z41" s="123">
        <v>60</v>
      </c>
      <c r="AA41" s="123">
        <v>60</v>
      </c>
      <c r="AB41" s="123">
        <v>60</v>
      </c>
      <c r="AC41" s="123">
        <v>60</v>
      </c>
      <c r="AD41" s="123">
        <v>60</v>
      </c>
      <c r="AE41" s="123">
        <v>60</v>
      </c>
      <c r="AF41" s="123">
        <v>60</v>
      </c>
      <c r="AG41" s="123">
        <v>60</v>
      </c>
      <c r="AH41" s="123">
        <v>60</v>
      </c>
      <c r="AI41" s="123">
        <v>60</v>
      </c>
      <c r="AJ41" s="123"/>
      <c r="AK41" s="123"/>
      <c r="AL41" s="123"/>
      <c r="AM41" s="18"/>
    </row>
    <row r="42" spans="1:40" ht="26.25" customHeight="1" x14ac:dyDescent="0.2">
      <c r="A42" s="31">
        <v>4</v>
      </c>
      <c r="B42" s="154" t="s">
        <v>77</v>
      </c>
      <c r="C42" s="155" t="s">
        <v>73</v>
      </c>
      <c r="D42" s="190">
        <f>D37/D11*10000</f>
        <v>33.233701899964466</v>
      </c>
      <c r="E42" s="190">
        <f>E37/E11*10000</f>
        <v>32.820385794346222</v>
      </c>
      <c r="F42" s="78">
        <f>F37/F11*10000</f>
        <v>33.233701899964466</v>
      </c>
      <c r="G42" s="78">
        <f>G37/G11*10000</f>
        <v>32.820385794346222</v>
      </c>
      <c r="H42" s="78">
        <f>H37/H11*10000</f>
        <v>32.820385794346222</v>
      </c>
      <c r="I42" s="78">
        <f t="shared" ref="I42:Q42" si="14">I37/I11*10000</f>
        <v>33.024684906882925</v>
      </c>
      <c r="J42" s="78">
        <f t="shared" si="14"/>
        <v>32.820385794346222</v>
      </c>
      <c r="K42" s="78">
        <f t="shared" si="14"/>
        <v>32.820385794346222</v>
      </c>
      <c r="L42" s="78">
        <f t="shared" si="14"/>
        <v>33.024684906882925</v>
      </c>
      <c r="M42" s="78">
        <f t="shared" si="14"/>
        <v>32.820385794346222</v>
      </c>
      <c r="N42" s="78">
        <f t="shared" si="14"/>
        <v>32.820385794346222</v>
      </c>
      <c r="O42" s="78">
        <f t="shared" si="14"/>
        <v>33.024684906882925</v>
      </c>
      <c r="P42" s="78">
        <f t="shared" si="14"/>
        <v>32.820385794346222</v>
      </c>
      <c r="Q42" s="78">
        <f t="shared" si="14"/>
        <v>32.820385794346222</v>
      </c>
      <c r="R42" s="190">
        <v>33.68137420006736</v>
      </c>
      <c r="S42" s="78">
        <f t="shared" ref="S42:T42" si="15">S37/S11*10000</f>
        <v>32.815170102284263</v>
      </c>
      <c r="T42" s="78">
        <f t="shared" si="15"/>
        <v>32.815170102284263</v>
      </c>
      <c r="U42" s="190">
        <v>33.68137420006736</v>
      </c>
      <c r="V42" s="190">
        <v>33.68137420006736</v>
      </c>
      <c r="W42" s="190">
        <v>33.68137420006736</v>
      </c>
      <c r="X42" s="124">
        <v>33.68137420006736</v>
      </c>
      <c r="Y42" s="124">
        <f>Y37/Y11*10000</f>
        <v>32.815170102284263</v>
      </c>
      <c r="Z42" s="124">
        <f>Z37/Z11*10000</f>
        <v>32.815170102284263</v>
      </c>
      <c r="AA42" s="124">
        <f>AA37/AA11*10000</f>
        <v>33.024684906882925</v>
      </c>
      <c r="AB42" s="124">
        <f t="shared" ref="AB42:AN42" si="16">AB37/AB11*10000</f>
        <v>32.848321326824269</v>
      </c>
      <c r="AC42" s="124">
        <f t="shared" si="16"/>
        <v>32.848321326824269</v>
      </c>
      <c r="AD42" s="124">
        <f t="shared" si="16"/>
        <v>33.024684906882925</v>
      </c>
      <c r="AE42" s="124">
        <f t="shared" si="16"/>
        <v>32.848321326824269</v>
      </c>
      <c r="AF42" s="124">
        <f t="shared" si="16"/>
        <v>32.848321326824269</v>
      </c>
      <c r="AG42" s="124">
        <f t="shared" si="16"/>
        <v>30.307463996822943</v>
      </c>
      <c r="AH42" s="124">
        <f t="shared" si="16"/>
        <v>32.641728110932291</v>
      </c>
      <c r="AI42" s="124">
        <f t="shared" si="16"/>
        <v>32.641728110932291</v>
      </c>
      <c r="AJ42" s="124" t="e">
        <f t="shared" si="16"/>
        <v>#DIV/0!</v>
      </c>
      <c r="AK42" s="124" t="e">
        <f t="shared" si="16"/>
        <v>#DIV/0!</v>
      </c>
      <c r="AL42" s="124" t="e">
        <f t="shared" si="16"/>
        <v>#DIV/0!</v>
      </c>
      <c r="AM42" s="124" t="e">
        <f t="shared" si="16"/>
        <v>#DIV/0!</v>
      </c>
      <c r="AN42" s="124" t="e">
        <f t="shared" si="16"/>
        <v>#DIV/0!</v>
      </c>
    </row>
    <row r="43" spans="1:40" ht="24" customHeight="1" x14ac:dyDescent="0.2">
      <c r="A43" s="32"/>
      <c r="B43" s="162" t="s">
        <v>78</v>
      </c>
      <c r="C43" s="157" t="s">
        <v>79</v>
      </c>
      <c r="D43" s="130">
        <f>D42</f>
        <v>33.233701899964466</v>
      </c>
      <c r="E43" s="130">
        <f>E42</f>
        <v>32.820385794346222</v>
      </c>
      <c r="F43" s="93">
        <f>F42</f>
        <v>33.233701899964466</v>
      </c>
      <c r="G43" s="93">
        <f>G42</f>
        <v>32.820385794346222</v>
      </c>
      <c r="H43" s="93">
        <f>H42</f>
        <v>32.820385794346222</v>
      </c>
      <c r="I43" s="93">
        <f t="shared" ref="I43:Q43" si="17">I42</f>
        <v>33.024684906882925</v>
      </c>
      <c r="J43" s="93">
        <f t="shared" si="17"/>
        <v>32.820385794346222</v>
      </c>
      <c r="K43" s="93">
        <f t="shared" si="17"/>
        <v>32.820385794346222</v>
      </c>
      <c r="L43" s="93">
        <f t="shared" si="17"/>
        <v>33.024684906882925</v>
      </c>
      <c r="M43" s="93">
        <f t="shared" si="17"/>
        <v>32.820385794346222</v>
      </c>
      <c r="N43" s="93">
        <f t="shared" si="17"/>
        <v>32.820385794346222</v>
      </c>
      <c r="O43" s="93">
        <f t="shared" si="17"/>
        <v>33.024684906882925</v>
      </c>
      <c r="P43" s="93">
        <f t="shared" si="17"/>
        <v>32.820385794346222</v>
      </c>
      <c r="Q43" s="93">
        <f t="shared" si="17"/>
        <v>32.820385794346222</v>
      </c>
      <c r="R43" s="190">
        <v>33.68137420006736</v>
      </c>
      <c r="S43" s="93">
        <f t="shared" ref="S43:T43" si="18">S42</f>
        <v>32.815170102284263</v>
      </c>
      <c r="T43" s="93">
        <f t="shared" si="18"/>
        <v>32.815170102284263</v>
      </c>
      <c r="U43" s="190">
        <v>33.68137420006736</v>
      </c>
      <c r="V43" s="190">
        <v>33.68137420006736</v>
      </c>
      <c r="W43" s="190">
        <v>33.68137420006736</v>
      </c>
      <c r="X43" s="124">
        <v>33.68137420006736</v>
      </c>
      <c r="Y43" s="124">
        <v>32.815170102284263</v>
      </c>
      <c r="Z43" s="124">
        <v>32.815170102284263</v>
      </c>
      <c r="AA43" s="124">
        <f>AA37/AA11*10000</f>
        <v>33.024684906882925</v>
      </c>
      <c r="AB43" s="124">
        <f t="shared" ref="AB43:AC43" si="19">AB37/AB11*10000</f>
        <v>32.848321326824269</v>
      </c>
      <c r="AC43" s="124">
        <f t="shared" si="19"/>
        <v>32.848321326824269</v>
      </c>
      <c r="AD43" s="124">
        <v>33.68137420006736</v>
      </c>
      <c r="AE43" s="124">
        <f t="shared" ref="AE43:AF43" si="20">AE37/AE11*10000</f>
        <v>32.848321326824269</v>
      </c>
      <c r="AF43" s="124">
        <f t="shared" si="20"/>
        <v>32.848321326824269</v>
      </c>
      <c r="AG43" s="124">
        <v>31.68</v>
      </c>
      <c r="AH43" s="124">
        <v>33.68137420006736</v>
      </c>
      <c r="AI43" s="124">
        <v>33.68137420006736</v>
      </c>
      <c r="AJ43" s="123"/>
      <c r="AK43" s="123"/>
      <c r="AL43" s="123"/>
      <c r="AM43" s="18"/>
    </row>
    <row r="44" spans="1:40" ht="16.5" customHeight="1" x14ac:dyDescent="0.2">
      <c r="A44" s="30" t="s">
        <v>80</v>
      </c>
      <c r="B44" s="163" t="s">
        <v>81</v>
      </c>
      <c r="C44" s="164"/>
      <c r="D44" s="186"/>
      <c r="E44" s="186"/>
      <c r="F44" s="90"/>
      <c r="G44" s="186"/>
      <c r="H44" s="90"/>
      <c r="I44" s="90"/>
      <c r="J44" s="90"/>
      <c r="K44" s="90"/>
      <c r="L44" s="185"/>
      <c r="M44" s="90"/>
      <c r="N44" s="90"/>
      <c r="O44" s="185"/>
      <c r="P44" s="90"/>
      <c r="Q44" s="90"/>
      <c r="R44" s="185"/>
      <c r="S44" s="185"/>
      <c r="T44" s="185"/>
      <c r="U44" s="185"/>
      <c r="V44" s="185"/>
      <c r="W44" s="185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8"/>
    </row>
    <row r="45" spans="1:40" ht="16.5" customHeight="1" x14ac:dyDescent="0.2">
      <c r="A45" s="31">
        <v>1</v>
      </c>
      <c r="B45" s="154" t="s">
        <v>82</v>
      </c>
      <c r="C45" s="155" t="s">
        <v>56</v>
      </c>
      <c r="D45" s="94">
        <v>2803</v>
      </c>
      <c r="E45" s="94">
        <v>2803</v>
      </c>
      <c r="F45" s="94">
        <f>E45</f>
        <v>2803</v>
      </c>
      <c r="G45" s="94">
        <f>E45</f>
        <v>2803</v>
      </c>
      <c r="H45" s="94">
        <f>G45</f>
        <v>2803</v>
      </c>
      <c r="I45" s="94">
        <f t="shared" ref="I45:Q45" si="21">H45</f>
        <v>2803</v>
      </c>
      <c r="J45" s="94">
        <f t="shared" si="21"/>
        <v>2803</v>
      </c>
      <c r="K45" s="94">
        <f t="shared" si="21"/>
        <v>2803</v>
      </c>
      <c r="L45" s="94">
        <f t="shared" si="21"/>
        <v>2803</v>
      </c>
      <c r="M45" s="94">
        <f t="shared" si="21"/>
        <v>2803</v>
      </c>
      <c r="N45" s="94">
        <f t="shared" si="21"/>
        <v>2803</v>
      </c>
      <c r="O45" s="94">
        <f t="shared" si="21"/>
        <v>2803</v>
      </c>
      <c r="P45" s="94">
        <f t="shared" si="21"/>
        <v>2803</v>
      </c>
      <c r="Q45" s="94">
        <f t="shared" si="21"/>
        <v>2803</v>
      </c>
      <c r="R45" s="185">
        <v>2796</v>
      </c>
      <c r="S45" s="94">
        <v>2781</v>
      </c>
      <c r="T45" s="94">
        <v>2781</v>
      </c>
      <c r="U45" s="125">
        <v>2790</v>
      </c>
      <c r="V45" s="94">
        <v>2781</v>
      </c>
      <c r="W45" s="94">
        <v>2781</v>
      </c>
      <c r="X45" s="125">
        <v>2790</v>
      </c>
      <c r="Y45" s="94">
        <v>2781</v>
      </c>
      <c r="Z45" s="94">
        <v>2781</v>
      </c>
      <c r="AA45" s="125">
        <v>2779</v>
      </c>
      <c r="AB45" s="125">
        <v>2764</v>
      </c>
      <c r="AC45" s="125">
        <v>2764</v>
      </c>
      <c r="AD45" s="125">
        <v>2822</v>
      </c>
      <c r="AE45" s="125">
        <v>2764</v>
      </c>
      <c r="AF45" s="125">
        <v>2764</v>
      </c>
      <c r="AG45" s="125">
        <v>2825</v>
      </c>
      <c r="AH45" s="185">
        <v>2824</v>
      </c>
      <c r="AI45" s="185">
        <v>2824</v>
      </c>
      <c r="AJ45" s="123"/>
      <c r="AK45" s="123"/>
      <c r="AL45" s="123"/>
      <c r="AM45" s="18"/>
    </row>
    <row r="46" spans="1:40" ht="16.5" customHeight="1" x14ac:dyDescent="0.2">
      <c r="A46" s="31"/>
      <c r="B46" s="154" t="s">
        <v>83</v>
      </c>
      <c r="C46" s="15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85"/>
      <c r="S46" s="95"/>
      <c r="T46" s="95"/>
      <c r="U46" s="125"/>
      <c r="V46" s="95"/>
      <c r="W46" s="95"/>
      <c r="X46" s="125"/>
      <c r="Y46" s="95"/>
      <c r="Z46" s="95"/>
      <c r="AA46" s="185"/>
      <c r="AB46" s="185"/>
      <c r="AC46" s="185"/>
      <c r="AD46" s="185"/>
      <c r="AE46" s="185"/>
      <c r="AF46" s="185"/>
      <c r="AG46" s="185"/>
      <c r="AH46" s="185"/>
      <c r="AI46" s="185"/>
      <c r="AJ46" s="123"/>
      <c r="AK46" s="123"/>
      <c r="AL46" s="123"/>
      <c r="AM46" s="18"/>
    </row>
    <row r="47" spans="1:40" ht="16.5" customHeight="1" x14ac:dyDescent="0.2">
      <c r="A47" s="31" t="s">
        <v>84</v>
      </c>
      <c r="B47" s="154" t="s">
        <v>85</v>
      </c>
      <c r="C47" s="155" t="s">
        <v>56</v>
      </c>
      <c r="D47" s="95">
        <v>518</v>
      </c>
      <c r="E47" s="95">
        <v>518</v>
      </c>
      <c r="F47" s="90">
        <f>E47</f>
        <v>518</v>
      </c>
      <c r="G47" s="95">
        <f>E47</f>
        <v>518</v>
      </c>
      <c r="H47" s="90">
        <f>G47</f>
        <v>518</v>
      </c>
      <c r="I47" s="90">
        <f t="shared" ref="I47:Q47" si="22">H47</f>
        <v>518</v>
      </c>
      <c r="J47" s="90">
        <f t="shared" si="22"/>
        <v>518</v>
      </c>
      <c r="K47" s="90">
        <f t="shared" si="22"/>
        <v>518</v>
      </c>
      <c r="L47" s="90">
        <f t="shared" si="22"/>
        <v>518</v>
      </c>
      <c r="M47" s="90">
        <f t="shared" si="22"/>
        <v>518</v>
      </c>
      <c r="N47" s="90">
        <f t="shared" si="22"/>
        <v>518</v>
      </c>
      <c r="O47" s="90">
        <f t="shared" si="22"/>
        <v>518</v>
      </c>
      <c r="P47" s="90">
        <f t="shared" si="22"/>
        <v>518</v>
      </c>
      <c r="Q47" s="90">
        <f t="shared" si="22"/>
        <v>518</v>
      </c>
      <c r="R47" s="185">
        <v>427</v>
      </c>
      <c r="S47" s="90">
        <v>515</v>
      </c>
      <c r="T47" s="90">
        <v>515</v>
      </c>
      <c r="U47" s="125">
        <v>427</v>
      </c>
      <c r="V47" s="90">
        <v>515</v>
      </c>
      <c r="W47" s="90">
        <v>515</v>
      </c>
      <c r="X47" s="125">
        <v>427</v>
      </c>
      <c r="Y47" s="90">
        <v>515</v>
      </c>
      <c r="Z47" s="90">
        <v>515</v>
      </c>
      <c r="AA47" s="185">
        <v>425</v>
      </c>
      <c r="AB47" s="185">
        <v>575</v>
      </c>
      <c r="AC47" s="185">
        <v>575</v>
      </c>
      <c r="AD47" s="185">
        <v>463</v>
      </c>
      <c r="AE47" s="185">
        <v>575</v>
      </c>
      <c r="AF47" s="185">
        <v>575</v>
      </c>
      <c r="AG47" s="185">
        <v>425</v>
      </c>
      <c r="AH47" s="185">
        <v>464</v>
      </c>
      <c r="AI47" s="185">
        <v>464</v>
      </c>
      <c r="AJ47" s="123"/>
      <c r="AK47" s="123"/>
      <c r="AL47" s="123"/>
      <c r="AM47" s="18"/>
    </row>
    <row r="48" spans="1:40" ht="22.5" x14ac:dyDescent="0.2">
      <c r="A48" s="32"/>
      <c r="B48" s="159" t="s">
        <v>86</v>
      </c>
      <c r="C48" s="157" t="s">
        <v>87</v>
      </c>
      <c r="D48" s="74">
        <f t="shared" ref="D48:Q48" si="23">D47/D11*10000</f>
        <v>10.827080241623642</v>
      </c>
      <c r="E48" s="74">
        <f t="shared" si="23"/>
        <v>10.692427573252418</v>
      </c>
      <c r="F48" s="74">
        <f t="shared" si="23"/>
        <v>10.827080241623642</v>
      </c>
      <c r="G48" s="74">
        <f t="shared" si="23"/>
        <v>10.692427573252418</v>
      </c>
      <c r="H48" s="74">
        <f t="shared" si="23"/>
        <v>10.692427573252418</v>
      </c>
      <c r="I48" s="74">
        <f t="shared" si="23"/>
        <v>10.827080241623642</v>
      </c>
      <c r="J48" s="74">
        <f t="shared" si="23"/>
        <v>10.692427573252418</v>
      </c>
      <c r="K48" s="74">
        <f t="shared" si="23"/>
        <v>10.692427573252418</v>
      </c>
      <c r="L48" s="74">
        <f t="shared" si="23"/>
        <v>10.827080241623642</v>
      </c>
      <c r="M48" s="74">
        <f t="shared" si="23"/>
        <v>10.692427573252418</v>
      </c>
      <c r="N48" s="74">
        <f t="shared" si="23"/>
        <v>10.692427573252418</v>
      </c>
      <c r="O48" s="74">
        <f t="shared" si="23"/>
        <v>10.827080241623642</v>
      </c>
      <c r="P48" s="74">
        <f t="shared" si="23"/>
        <v>10.692427573252418</v>
      </c>
      <c r="Q48" s="74">
        <f t="shared" si="23"/>
        <v>10.692427573252418</v>
      </c>
      <c r="R48" s="190">
        <v>9.10249796419542</v>
      </c>
      <c r="S48" s="74">
        <f>S47/S11*10000</f>
        <v>10.628812957658111</v>
      </c>
      <c r="T48" s="74">
        <f>T47/T11*10000</f>
        <v>10.628812957658111</v>
      </c>
      <c r="U48" s="190">
        <v>9.10249796419542</v>
      </c>
      <c r="V48" s="74">
        <f t="shared" ref="V48:X48" si="24">V47/V11*10000</f>
        <v>10.628812957658111</v>
      </c>
      <c r="W48" s="74">
        <f t="shared" si="24"/>
        <v>10.628812957658111</v>
      </c>
      <c r="X48" s="190">
        <f t="shared" si="24"/>
        <v>8.9250256045816521</v>
      </c>
      <c r="Y48" s="74">
        <f>Y47/Y11*10000</f>
        <v>10.628812957658111</v>
      </c>
      <c r="Z48" s="74">
        <f>Z47/Z11*10000</f>
        <v>10.628812957658111</v>
      </c>
      <c r="AA48" s="190">
        <f t="shared" ref="AA48:AM48" si="25">AA47/AA11*10000</f>
        <v>8.8832222059653443</v>
      </c>
      <c r="AB48" s="190">
        <f t="shared" si="25"/>
        <v>11.879109913788652</v>
      </c>
      <c r="AC48" s="190">
        <f t="shared" si="25"/>
        <v>11.879109913788652</v>
      </c>
      <c r="AD48" s="190">
        <f t="shared" si="25"/>
        <v>9.6774867796751884</v>
      </c>
      <c r="AE48" s="190">
        <f t="shared" si="25"/>
        <v>11.879109913788652</v>
      </c>
      <c r="AF48" s="190">
        <f t="shared" si="25"/>
        <v>11.879109913788652</v>
      </c>
      <c r="AG48" s="190">
        <f t="shared" si="25"/>
        <v>8.8832222059653443</v>
      </c>
      <c r="AH48" s="190">
        <f t="shared" si="25"/>
        <v>9.5859252173877127</v>
      </c>
      <c r="AI48" s="190">
        <f t="shared" si="25"/>
        <v>9.5859252173877127</v>
      </c>
      <c r="AJ48" s="124" t="e">
        <f t="shared" si="25"/>
        <v>#DIV/0!</v>
      </c>
      <c r="AK48" s="124" t="e">
        <f t="shared" si="25"/>
        <v>#DIV/0!</v>
      </c>
      <c r="AL48" s="124" t="e">
        <f t="shared" si="25"/>
        <v>#DIV/0!</v>
      </c>
      <c r="AM48" s="124" t="e">
        <f t="shared" si="25"/>
        <v>#DIV/0!</v>
      </c>
    </row>
    <row r="49" spans="1:39" x14ac:dyDescent="0.2">
      <c r="A49" s="31" t="s">
        <v>88</v>
      </c>
      <c r="B49" s="154" t="s">
        <v>89</v>
      </c>
      <c r="C49" s="155" t="s">
        <v>56</v>
      </c>
      <c r="D49" s="95">
        <v>103</v>
      </c>
      <c r="E49" s="95">
        <v>103</v>
      </c>
      <c r="F49" s="90">
        <f>E49</f>
        <v>103</v>
      </c>
      <c r="G49" s="95">
        <f>E49</f>
        <v>103</v>
      </c>
      <c r="H49" s="90">
        <f>G49</f>
        <v>103</v>
      </c>
      <c r="I49" s="90">
        <f t="shared" ref="I49:Q49" si="26">H49</f>
        <v>103</v>
      </c>
      <c r="J49" s="90">
        <f t="shared" si="26"/>
        <v>103</v>
      </c>
      <c r="K49" s="90">
        <f t="shared" si="26"/>
        <v>103</v>
      </c>
      <c r="L49" s="90">
        <f t="shared" si="26"/>
        <v>103</v>
      </c>
      <c r="M49" s="90">
        <f t="shared" si="26"/>
        <v>103</v>
      </c>
      <c r="N49" s="90">
        <f t="shared" si="26"/>
        <v>103</v>
      </c>
      <c r="O49" s="90">
        <f t="shared" si="26"/>
        <v>103</v>
      </c>
      <c r="P49" s="90">
        <f t="shared" si="26"/>
        <v>103</v>
      </c>
      <c r="Q49" s="90">
        <f t="shared" si="26"/>
        <v>103</v>
      </c>
      <c r="R49" s="185">
        <v>60</v>
      </c>
      <c r="S49" s="89">
        <v>100</v>
      </c>
      <c r="T49" s="89">
        <v>100</v>
      </c>
      <c r="U49" s="125">
        <v>60</v>
      </c>
      <c r="V49" s="89">
        <v>100</v>
      </c>
      <c r="W49" s="89">
        <v>100</v>
      </c>
      <c r="X49" s="125">
        <v>60</v>
      </c>
      <c r="Y49" s="89">
        <v>100</v>
      </c>
      <c r="Z49" s="89">
        <v>100</v>
      </c>
      <c r="AA49" s="185">
        <v>58</v>
      </c>
      <c r="AB49" s="185">
        <v>100</v>
      </c>
      <c r="AC49" s="185">
        <v>100</v>
      </c>
      <c r="AD49" s="185">
        <v>58</v>
      </c>
      <c r="AE49" s="185">
        <v>100</v>
      </c>
      <c r="AF49" s="185">
        <v>100</v>
      </c>
      <c r="AG49" s="185">
        <v>52</v>
      </c>
      <c r="AH49" s="185">
        <v>58</v>
      </c>
      <c r="AI49" s="185">
        <v>58</v>
      </c>
      <c r="AJ49" s="123"/>
      <c r="AK49" s="123"/>
      <c r="AL49" s="123"/>
      <c r="AM49" s="18"/>
    </row>
    <row r="50" spans="1:39" ht="22.5" x14ac:dyDescent="0.2">
      <c r="A50" s="32"/>
      <c r="B50" s="159" t="s">
        <v>90</v>
      </c>
      <c r="C50" s="157" t="s">
        <v>87</v>
      </c>
      <c r="D50" s="74">
        <f t="shared" ref="D50:Q50" si="27">D49/D11*10000</f>
        <v>2.1528750287398366</v>
      </c>
      <c r="E50" s="74">
        <f t="shared" si="27"/>
        <v>2.1261004634073339</v>
      </c>
      <c r="F50" s="74">
        <f t="shared" si="27"/>
        <v>2.1528750287398366</v>
      </c>
      <c r="G50" s="74">
        <f t="shared" si="27"/>
        <v>2.1261004634073339</v>
      </c>
      <c r="H50" s="74">
        <f t="shared" si="27"/>
        <v>2.1261004634073339</v>
      </c>
      <c r="I50" s="74">
        <f t="shared" si="27"/>
        <v>2.1528750287398366</v>
      </c>
      <c r="J50" s="74">
        <f t="shared" si="27"/>
        <v>2.1261004634073339</v>
      </c>
      <c r="K50" s="74">
        <f t="shared" si="27"/>
        <v>2.1261004634073339</v>
      </c>
      <c r="L50" s="74">
        <f t="shared" si="27"/>
        <v>2.1528750287398366</v>
      </c>
      <c r="M50" s="74">
        <f t="shared" si="27"/>
        <v>2.1261004634073339</v>
      </c>
      <c r="N50" s="74">
        <f t="shared" si="27"/>
        <v>2.1261004634073339</v>
      </c>
      <c r="O50" s="74">
        <f t="shared" si="27"/>
        <v>2.1528750287398366</v>
      </c>
      <c r="P50" s="74">
        <f t="shared" si="27"/>
        <v>2.1261004634073339</v>
      </c>
      <c r="Q50" s="74">
        <f t="shared" si="27"/>
        <v>2.1261004634073339</v>
      </c>
      <c r="R50" s="190">
        <v>1.2790395265848367</v>
      </c>
      <c r="S50" s="74">
        <f>S49/S11*10000</f>
        <v>2.0638471762442934</v>
      </c>
      <c r="T50" s="74">
        <f>T49/T11*10000</f>
        <v>2.0638471762442934</v>
      </c>
      <c r="U50" s="190">
        <v>1.2790395265848367</v>
      </c>
      <c r="V50" s="74">
        <f t="shared" ref="V50:X50" si="28">V49/V11*10000</f>
        <v>2.0638471762442934</v>
      </c>
      <c r="W50" s="74">
        <f t="shared" si="28"/>
        <v>2.0638471762442934</v>
      </c>
      <c r="X50" s="190">
        <f t="shared" si="28"/>
        <v>1.254101958489225</v>
      </c>
      <c r="Y50" s="74">
        <f>Y49/Y11*10000</f>
        <v>2.0638471762442934</v>
      </c>
      <c r="Z50" s="74">
        <f>Z49/Z11*10000</f>
        <v>2.0638471762442934</v>
      </c>
      <c r="AA50" s="190">
        <f t="shared" ref="AA50:AM50" si="29">AA49/AA11*10000</f>
        <v>1.2122985598729177</v>
      </c>
      <c r="AB50" s="190">
        <f t="shared" si="29"/>
        <v>2.0659321589197654</v>
      </c>
      <c r="AC50" s="190">
        <f t="shared" si="29"/>
        <v>2.0659321589197654</v>
      </c>
      <c r="AD50" s="190">
        <f t="shared" si="29"/>
        <v>1.2122985598729177</v>
      </c>
      <c r="AE50" s="190">
        <f t="shared" si="29"/>
        <v>2.0659321589197654</v>
      </c>
      <c r="AF50" s="190">
        <f t="shared" si="29"/>
        <v>2.0659321589197654</v>
      </c>
      <c r="AG50" s="190">
        <f t="shared" si="29"/>
        <v>1.0868883640239952</v>
      </c>
      <c r="AH50" s="190">
        <f t="shared" si="29"/>
        <v>1.1982406521734641</v>
      </c>
      <c r="AI50" s="190">
        <f t="shared" si="29"/>
        <v>1.1982406521734641</v>
      </c>
      <c r="AJ50" s="124" t="e">
        <f t="shared" si="29"/>
        <v>#DIV/0!</v>
      </c>
      <c r="AK50" s="124" t="e">
        <f t="shared" si="29"/>
        <v>#DIV/0!</v>
      </c>
      <c r="AL50" s="124" t="e">
        <f t="shared" si="29"/>
        <v>#DIV/0!</v>
      </c>
      <c r="AM50" s="124" t="e">
        <f t="shared" si="29"/>
        <v>#DIV/0!</v>
      </c>
    </row>
    <row r="51" spans="1:39" ht="30" customHeight="1" x14ac:dyDescent="0.2">
      <c r="A51" s="31">
        <v>3</v>
      </c>
      <c r="B51" s="154" t="s">
        <v>91</v>
      </c>
      <c r="C51" s="155" t="s">
        <v>57</v>
      </c>
      <c r="D51" s="74">
        <f>26/106*100</f>
        <v>24.528301886792452</v>
      </c>
      <c r="E51" s="74">
        <f>26/106*100</f>
        <v>24.528301886792452</v>
      </c>
      <c r="F51" s="74">
        <f>E51</f>
        <v>24.528301886792452</v>
      </c>
      <c r="G51" s="74">
        <f>26/106*100</f>
        <v>24.528301886792452</v>
      </c>
      <c r="H51" s="74">
        <f>G51</f>
        <v>24.528301886792452</v>
      </c>
      <c r="I51" s="74">
        <f>20/108*100</f>
        <v>18.518518518518519</v>
      </c>
      <c r="J51" s="74">
        <f>28/106*100</f>
        <v>26.415094339622641</v>
      </c>
      <c r="K51" s="74">
        <f t="shared" ref="K51" si="30">J51</f>
        <v>26.415094339622641</v>
      </c>
      <c r="L51" s="74">
        <f>20/108*100</f>
        <v>18.518518518518519</v>
      </c>
      <c r="M51" s="74">
        <f>28/106*100</f>
        <v>26.415094339622641</v>
      </c>
      <c r="N51" s="74">
        <f t="shared" ref="N51" si="31">M51</f>
        <v>26.415094339622641</v>
      </c>
      <c r="O51" s="74">
        <f>20/108*100</f>
        <v>18.518518518518519</v>
      </c>
      <c r="P51" s="74">
        <f>28/106*100</f>
        <v>26.415094339622641</v>
      </c>
      <c r="Q51" s="74">
        <f t="shared" ref="Q51" si="32">P51</f>
        <v>26.415094339622641</v>
      </c>
      <c r="R51" s="190">
        <v>19.417475728155338</v>
      </c>
      <c r="S51" s="74">
        <f>28/106*100</f>
        <v>26.415094339622641</v>
      </c>
      <c r="T51" s="74">
        <f>28/106*100</f>
        <v>26.415094339622641</v>
      </c>
      <c r="U51" s="190">
        <v>19.417475728155338</v>
      </c>
      <c r="V51" s="74">
        <f>27/106*100</f>
        <v>25.471698113207548</v>
      </c>
      <c r="W51" s="74">
        <f t="shared" ref="W51" si="33">28/106*100</f>
        <v>26.415094339622641</v>
      </c>
      <c r="X51" s="74">
        <f>20/106*100</f>
        <v>18.867924528301888</v>
      </c>
      <c r="Y51" s="74">
        <f>28/106*100</f>
        <v>26.415094339622641</v>
      </c>
      <c r="Z51" s="74">
        <f>28/106*100</f>
        <v>26.415094339622641</v>
      </c>
      <c r="AA51" s="74">
        <f t="shared" ref="AA51:AM51" si="34">20/106*100</f>
        <v>18.867924528301888</v>
      </c>
      <c r="AB51" s="74">
        <f>28/106*100</f>
        <v>26.415094339622641</v>
      </c>
      <c r="AC51" s="74">
        <f>28/106*100</f>
        <v>26.415094339622641</v>
      </c>
      <c r="AD51" s="74">
        <f t="shared" si="34"/>
        <v>18.867924528301888</v>
      </c>
      <c r="AE51" s="74">
        <f>28/106*100</f>
        <v>26.415094339622641</v>
      </c>
      <c r="AF51" s="74">
        <f>28/106*100</f>
        <v>26.415094339622641</v>
      </c>
      <c r="AG51" s="185">
        <v>17.59</v>
      </c>
      <c r="AH51" s="74">
        <f t="shared" si="34"/>
        <v>18.867924528301888</v>
      </c>
      <c r="AI51" s="74">
        <f t="shared" si="34"/>
        <v>18.867924528301888</v>
      </c>
      <c r="AJ51" s="38">
        <f t="shared" si="34"/>
        <v>18.867924528301888</v>
      </c>
      <c r="AK51" s="38">
        <f t="shared" si="34"/>
        <v>18.867924528301888</v>
      </c>
      <c r="AL51" s="38">
        <f t="shared" si="34"/>
        <v>18.867924528301888</v>
      </c>
      <c r="AM51" s="38">
        <f t="shared" si="34"/>
        <v>18.867924528301888</v>
      </c>
    </row>
    <row r="52" spans="1:39" ht="30.75" customHeight="1" x14ac:dyDescent="0.2">
      <c r="A52" s="31">
        <v>5</v>
      </c>
      <c r="B52" s="154" t="s">
        <v>92</v>
      </c>
      <c r="C52" s="155" t="s">
        <v>57</v>
      </c>
      <c r="D52" s="189">
        <f>864/915*100</f>
        <v>94.426229508196727</v>
      </c>
      <c r="E52" s="189">
        <f>864/915*100</f>
        <v>94.426229508196727</v>
      </c>
      <c r="F52" s="96">
        <f t="shared" ref="F52:AM52" si="35">870/916*100</f>
        <v>94.978165938864635</v>
      </c>
      <c r="G52" s="96">
        <f>864/915*100</f>
        <v>94.426229508196727</v>
      </c>
      <c r="H52" s="96">
        <f>864/915*100</f>
        <v>94.426229508196727</v>
      </c>
      <c r="I52" s="96">
        <f t="shared" si="35"/>
        <v>94.978165938864635</v>
      </c>
      <c r="J52" s="96">
        <f t="shared" ref="J52:P52" si="36">864/915*100</f>
        <v>94.426229508196727</v>
      </c>
      <c r="K52" s="96">
        <f t="shared" si="36"/>
        <v>94.426229508196727</v>
      </c>
      <c r="L52" s="96">
        <f t="shared" si="35"/>
        <v>94.978165938864635</v>
      </c>
      <c r="M52" s="96">
        <f t="shared" si="36"/>
        <v>94.426229508196727</v>
      </c>
      <c r="N52" s="96">
        <f t="shared" si="36"/>
        <v>94.426229508196727</v>
      </c>
      <c r="O52" s="96">
        <f t="shared" si="35"/>
        <v>94.978165938864635</v>
      </c>
      <c r="P52" s="96">
        <f t="shared" si="36"/>
        <v>94.426229508196727</v>
      </c>
      <c r="Q52" s="96">
        <f>864/915*100</f>
        <v>94.426229508196727</v>
      </c>
      <c r="R52" s="96">
        <f t="shared" si="35"/>
        <v>94.978165938864635</v>
      </c>
      <c r="S52" s="96">
        <f>864/915*100</f>
        <v>94.426229508196727</v>
      </c>
      <c r="T52" s="96">
        <f>864/915*100</f>
        <v>94.426229508196727</v>
      </c>
      <c r="U52" s="96">
        <f t="shared" si="35"/>
        <v>94.978165938864635</v>
      </c>
      <c r="V52" s="96">
        <f t="shared" ref="V52:W52" si="37">864/915*100</f>
        <v>94.426229508196727</v>
      </c>
      <c r="W52" s="96">
        <f t="shared" si="37"/>
        <v>94.426229508196727</v>
      </c>
      <c r="X52" s="96">
        <f t="shared" si="35"/>
        <v>94.978165938864635</v>
      </c>
      <c r="Y52" s="96">
        <f>864/915*100</f>
        <v>94.426229508196727</v>
      </c>
      <c r="Z52" s="96">
        <f>864/915*100</f>
        <v>94.426229508196727</v>
      </c>
      <c r="AA52" s="96">
        <f t="shared" si="35"/>
        <v>94.978165938864635</v>
      </c>
      <c r="AB52" s="96">
        <f>Z52</f>
        <v>94.426229508196727</v>
      </c>
      <c r="AC52" s="96">
        <f>AB52</f>
        <v>94.426229508196727</v>
      </c>
      <c r="AD52" s="96">
        <f t="shared" si="35"/>
        <v>94.978165938864635</v>
      </c>
      <c r="AE52" s="96">
        <f>855/915*100</f>
        <v>93.442622950819683</v>
      </c>
      <c r="AF52" s="96">
        <f>855/915*100</f>
        <v>93.442622950819683</v>
      </c>
      <c r="AG52" s="96">
        <f t="shared" si="35"/>
        <v>94.978165938864635</v>
      </c>
      <c r="AH52" s="96">
        <f t="shared" si="35"/>
        <v>94.978165938864635</v>
      </c>
      <c r="AI52" s="96">
        <f t="shared" si="35"/>
        <v>94.978165938864635</v>
      </c>
      <c r="AJ52" s="66">
        <f t="shared" si="35"/>
        <v>94.978165938864635</v>
      </c>
      <c r="AK52" s="66">
        <f t="shared" si="35"/>
        <v>94.978165938864635</v>
      </c>
      <c r="AL52" s="66">
        <f t="shared" si="35"/>
        <v>94.978165938864635</v>
      </c>
      <c r="AM52" s="66">
        <f t="shared" si="35"/>
        <v>94.978165938864635</v>
      </c>
    </row>
    <row r="53" spans="1:39" x14ac:dyDescent="0.2">
      <c r="A53" s="30" t="s">
        <v>93</v>
      </c>
      <c r="B53" s="163" t="s">
        <v>94</v>
      </c>
      <c r="C53" s="16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23"/>
      <c r="AK53" s="123"/>
      <c r="AL53" s="123"/>
      <c r="AM53" s="18"/>
    </row>
    <row r="54" spans="1:39" ht="17.25" customHeight="1" x14ac:dyDescent="0.2">
      <c r="A54" s="31">
        <v>1</v>
      </c>
      <c r="B54" s="154" t="s">
        <v>95</v>
      </c>
      <c r="C54" s="155" t="s">
        <v>96</v>
      </c>
      <c r="D54" s="125">
        <v>91</v>
      </c>
      <c r="E54" s="125">
        <v>91</v>
      </c>
      <c r="F54" s="97">
        <v>89</v>
      </c>
      <c r="G54" s="97">
        <v>91</v>
      </c>
      <c r="H54" s="97">
        <v>91</v>
      </c>
      <c r="I54" s="97">
        <v>87</v>
      </c>
      <c r="J54" s="97">
        <v>91</v>
      </c>
      <c r="K54" s="97">
        <v>91</v>
      </c>
      <c r="L54" s="97">
        <v>87</v>
      </c>
      <c r="M54" s="97">
        <v>91</v>
      </c>
      <c r="N54" s="97">
        <v>91</v>
      </c>
      <c r="O54" s="97">
        <v>87</v>
      </c>
      <c r="P54" s="97">
        <v>91</v>
      </c>
      <c r="Q54" s="97">
        <v>91</v>
      </c>
      <c r="R54" s="185">
        <v>86</v>
      </c>
      <c r="S54" s="101">
        <v>91</v>
      </c>
      <c r="T54" s="101">
        <v>91</v>
      </c>
      <c r="U54" s="102">
        <v>86</v>
      </c>
      <c r="V54" s="101">
        <v>91</v>
      </c>
      <c r="W54" s="101">
        <v>91</v>
      </c>
      <c r="X54" s="185">
        <v>86</v>
      </c>
      <c r="Y54" s="101">
        <v>91</v>
      </c>
      <c r="Z54" s="101">
        <v>91</v>
      </c>
      <c r="AA54" s="185">
        <v>86</v>
      </c>
      <c r="AB54" s="185">
        <v>91</v>
      </c>
      <c r="AC54" s="185">
        <v>91</v>
      </c>
      <c r="AD54" s="185">
        <v>86</v>
      </c>
      <c r="AE54" s="185">
        <v>91</v>
      </c>
      <c r="AF54" s="185">
        <v>91</v>
      </c>
      <c r="AG54" s="185">
        <v>86</v>
      </c>
      <c r="AH54" s="185">
        <v>91</v>
      </c>
      <c r="AI54" s="185">
        <v>91</v>
      </c>
      <c r="AJ54" s="123"/>
      <c r="AK54" s="123"/>
      <c r="AL54" s="123"/>
      <c r="AM54" s="18"/>
    </row>
    <row r="55" spans="1:39" ht="24.75" customHeight="1" x14ac:dyDescent="0.2">
      <c r="A55" s="31"/>
      <c r="B55" s="159" t="s">
        <v>97</v>
      </c>
      <c r="C55" s="155" t="s">
        <v>96</v>
      </c>
      <c r="D55" s="185">
        <v>2</v>
      </c>
      <c r="E55" s="185">
        <v>2</v>
      </c>
      <c r="F55" s="185">
        <v>2</v>
      </c>
      <c r="G55" s="185">
        <v>2</v>
      </c>
      <c r="H55" s="185">
        <v>2</v>
      </c>
      <c r="I55" s="185">
        <v>3</v>
      </c>
      <c r="J55" s="185">
        <v>2</v>
      </c>
      <c r="K55" s="185">
        <v>2</v>
      </c>
      <c r="L55" s="185">
        <v>3</v>
      </c>
      <c r="M55" s="185">
        <v>2</v>
      </c>
      <c r="N55" s="185">
        <v>2</v>
      </c>
      <c r="O55" s="185">
        <v>3</v>
      </c>
      <c r="P55" s="185">
        <v>2</v>
      </c>
      <c r="Q55" s="185">
        <v>2</v>
      </c>
      <c r="R55" s="185">
        <v>3</v>
      </c>
      <c r="S55" s="102">
        <v>2</v>
      </c>
      <c r="T55" s="102">
        <v>2</v>
      </c>
      <c r="U55" s="102">
        <v>3</v>
      </c>
      <c r="V55" s="102">
        <v>2</v>
      </c>
      <c r="W55" s="102">
        <v>2</v>
      </c>
      <c r="X55" s="185">
        <v>3</v>
      </c>
      <c r="Y55" s="102">
        <v>2</v>
      </c>
      <c r="Z55" s="102">
        <v>2</v>
      </c>
      <c r="AA55" s="185">
        <v>3</v>
      </c>
      <c r="AB55" s="185">
        <v>2</v>
      </c>
      <c r="AC55" s="185">
        <v>2</v>
      </c>
      <c r="AD55" s="185">
        <v>3</v>
      </c>
      <c r="AE55" s="185">
        <v>2</v>
      </c>
      <c r="AF55" s="185">
        <v>2</v>
      </c>
      <c r="AG55" s="185">
        <v>3</v>
      </c>
      <c r="AH55" s="185">
        <v>2</v>
      </c>
      <c r="AI55" s="185">
        <v>2</v>
      </c>
      <c r="AJ55" s="123"/>
      <c r="AK55" s="123"/>
      <c r="AL55" s="123"/>
      <c r="AM55" s="18"/>
    </row>
    <row r="56" spans="1:39" ht="22.5" customHeight="1" x14ac:dyDescent="0.2">
      <c r="A56" s="33"/>
      <c r="B56" s="159" t="s">
        <v>98</v>
      </c>
      <c r="C56" s="157" t="s">
        <v>57</v>
      </c>
      <c r="D56" s="188">
        <f>D54/106*100</f>
        <v>85.84905660377359</v>
      </c>
      <c r="E56" s="188">
        <f>E54/106*100</f>
        <v>85.84905660377359</v>
      </c>
      <c r="F56" s="98">
        <f>F54/108*100</f>
        <v>82.407407407407405</v>
      </c>
      <c r="G56" s="98">
        <f>G54/106*100</f>
        <v>85.84905660377359</v>
      </c>
      <c r="H56" s="98">
        <f>H54/108*100</f>
        <v>84.259259259259252</v>
      </c>
      <c r="I56" s="98">
        <f t="shared" ref="I56:O56" si="38">I54/108*100</f>
        <v>80.555555555555557</v>
      </c>
      <c r="J56" s="98">
        <f t="shared" si="38"/>
        <v>84.259259259259252</v>
      </c>
      <c r="K56" s="98">
        <f t="shared" si="38"/>
        <v>84.259259259259252</v>
      </c>
      <c r="L56" s="98">
        <f t="shared" si="38"/>
        <v>80.555555555555557</v>
      </c>
      <c r="M56" s="98">
        <f t="shared" si="38"/>
        <v>84.259259259259252</v>
      </c>
      <c r="N56" s="98">
        <f t="shared" si="38"/>
        <v>84.259259259259252</v>
      </c>
      <c r="O56" s="98">
        <f t="shared" si="38"/>
        <v>80.555555555555557</v>
      </c>
      <c r="P56" s="98">
        <f>P54/106*100</f>
        <v>85.84905660377359</v>
      </c>
      <c r="Q56" s="98">
        <f>Q54/106*100</f>
        <v>85.84905660377359</v>
      </c>
      <c r="R56" s="188">
        <f>R54/106*100</f>
        <v>81.132075471698116</v>
      </c>
      <c r="S56" s="188">
        <f>S54/106*100</f>
        <v>85.84905660377359</v>
      </c>
      <c r="T56" s="188">
        <f>T54/106*100</f>
        <v>85.84905660377359</v>
      </c>
      <c r="U56" s="188">
        <f t="shared" ref="U56:W56" si="39">U54/106*100</f>
        <v>81.132075471698116</v>
      </c>
      <c r="V56" s="126">
        <f t="shared" si="39"/>
        <v>85.84905660377359</v>
      </c>
      <c r="W56" s="126">
        <f t="shared" si="39"/>
        <v>85.84905660377359</v>
      </c>
      <c r="X56" s="111">
        <f>X54/108*100</f>
        <v>79.629629629629633</v>
      </c>
      <c r="Y56" s="188">
        <f t="shared" ref="Y56:AF56" si="40">Y54/106*100</f>
        <v>85.84905660377359</v>
      </c>
      <c r="Z56" s="188">
        <f t="shared" si="40"/>
        <v>85.84905660377359</v>
      </c>
      <c r="AA56" s="188">
        <f t="shared" si="40"/>
        <v>81.132075471698116</v>
      </c>
      <c r="AB56" s="188">
        <f t="shared" si="40"/>
        <v>85.84905660377359</v>
      </c>
      <c r="AC56" s="188">
        <f t="shared" si="40"/>
        <v>85.84905660377359</v>
      </c>
      <c r="AD56" s="188">
        <f t="shared" si="40"/>
        <v>81.132075471698116</v>
      </c>
      <c r="AE56" s="188">
        <f t="shared" si="40"/>
        <v>85.84905660377359</v>
      </c>
      <c r="AF56" s="188">
        <f t="shared" si="40"/>
        <v>85.84905660377359</v>
      </c>
      <c r="AG56" s="111">
        <f>AG54/106*100</f>
        <v>81.132075471698116</v>
      </c>
      <c r="AH56" s="188">
        <f t="shared" ref="AH56:AI56" si="41">AH54/106*100</f>
        <v>85.84905660377359</v>
      </c>
      <c r="AI56" s="188">
        <f t="shared" si="41"/>
        <v>85.84905660377359</v>
      </c>
      <c r="AJ56" s="123"/>
      <c r="AK56" s="123"/>
      <c r="AL56" s="123"/>
      <c r="AM56" s="18"/>
    </row>
    <row r="57" spans="1:39" ht="31.5" customHeight="1" x14ac:dyDescent="0.2">
      <c r="A57" s="31">
        <v>2</v>
      </c>
      <c r="B57" s="154" t="s">
        <v>99</v>
      </c>
      <c r="C57" s="155" t="s">
        <v>100</v>
      </c>
      <c r="D57" s="70">
        <f>15/800*1000</f>
        <v>18.75</v>
      </c>
      <c r="E57" s="73">
        <f>18/673*1000</f>
        <v>26.745913818722137</v>
      </c>
      <c r="F57" s="74">
        <f>20/718*1000</f>
        <v>27.855153203342617</v>
      </c>
      <c r="G57" s="74">
        <f>10/647*1000</f>
        <v>15.45595054095827</v>
      </c>
      <c r="H57" s="73">
        <f>(18+10)/(673+647)*1000</f>
        <v>21.212121212121215</v>
      </c>
      <c r="I57" s="166">
        <f>((13+22+25)/(861+800+700))*1000</f>
        <v>25.412960609911053</v>
      </c>
      <c r="J57" s="74">
        <f>13/643*1000</f>
        <v>20.217729393468119</v>
      </c>
      <c r="K57" s="73">
        <f>(18+10+13)/(673+647+643)*1000</f>
        <v>20.886398369842077</v>
      </c>
      <c r="L57" s="167">
        <f>((13+22+25+33)/(861+800+700+745))*1000</f>
        <v>29.94204764971024</v>
      </c>
      <c r="M57" s="168">
        <f>14/642*1000</f>
        <v>21.806853582554517</v>
      </c>
      <c r="N57" s="73">
        <f>(18+10+13+14)/(673+647+643+642)*1000</f>
        <v>21.113243761996159</v>
      </c>
      <c r="O57" s="167">
        <f>((13+22+25+33+19)/(861+800+700+745+656))*1000</f>
        <v>29.771398192450825</v>
      </c>
      <c r="P57" s="83">
        <f>18/581*1000</f>
        <v>30.981067125645438</v>
      </c>
      <c r="Q57" s="73">
        <f>(18+10+13+14+18)/(673+647+643+642+581)*1000</f>
        <v>22.912743251726301</v>
      </c>
      <c r="R57" s="167">
        <f>((13+22+25+33+19+13)/(861+800+700+745+656+674))*1000</f>
        <v>28.178539224526602</v>
      </c>
      <c r="S57" s="83">
        <f>25/615*1000</f>
        <v>40.650406504065039</v>
      </c>
      <c r="T57" s="73">
        <f>(18+10+13+14+18+25)/(673+647+643+642+581+615)*1000</f>
        <v>25.78268876611418</v>
      </c>
      <c r="U57" s="167">
        <f>((13+22+25+33+19+13+22)/(861+800+700+745+656+674+685))*1000</f>
        <v>28.705330990041009</v>
      </c>
      <c r="V57" s="74">
        <f>14/624*1000</f>
        <v>22.435897435897434</v>
      </c>
      <c r="W57" s="73">
        <f>(18+10+13+14+18+25+14)/(673+647+643+642+581+615+624)*1000</f>
        <v>25.310734463276834</v>
      </c>
      <c r="X57" s="103">
        <f>25/670*1000</f>
        <v>37.31343283582089</v>
      </c>
      <c r="Y57" s="191">
        <f>17/634*1000</f>
        <v>26.813880126182966</v>
      </c>
      <c r="Z57" s="73">
        <f>(18+10+13+14+18+25+14+17)/(673+647+643+642+581+615+624+634)*1000</f>
        <v>25.499110496145484</v>
      </c>
      <c r="AA57" s="131">
        <f>25/732*1000</f>
        <v>34.153005464480877</v>
      </c>
      <c r="AB57" s="191">
        <f>22/676*1000</f>
        <v>32.544378698224854</v>
      </c>
      <c r="AC57" s="73">
        <f>(18+10+13+14+18+25+14+17+22)/(673+647+643+642+581+615+624+634+676)*1000</f>
        <v>26.329555361813426</v>
      </c>
      <c r="AD57" s="190">
        <v>31.45</v>
      </c>
      <c r="AE57" s="257" t="s">
        <v>136</v>
      </c>
      <c r="AF57" s="258"/>
      <c r="AG57" s="127">
        <f>20/940*1000</f>
        <v>21.276595744680851</v>
      </c>
      <c r="AH57" s="248" t="s">
        <v>124</v>
      </c>
      <c r="AI57" s="249"/>
      <c r="AJ57" s="123"/>
      <c r="AK57" s="123"/>
      <c r="AL57" s="123"/>
      <c r="AM57" s="18"/>
    </row>
    <row r="58" spans="1:39" ht="28.5" customHeight="1" x14ac:dyDescent="0.2">
      <c r="A58" s="31">
        <v>3</v>
      </c>
      <c r="B58" s="154" t="s">
        <v>101</v>
      </c>
      <c r="C58" s="155" t="s">
        <v>100</v>
      </c>
      <c r="D58" s="71">
        <f>21/800*1000</f>
        <v>26.25</v>
      </c>
      <c r="E58" s="76">
        <f>20/673*1000</f>
        <v>29.717682020802375</v>
      </c>
      <c r="F58" s="77">
        <f>26/718*1000</f>
        <v>36.211699164345404</v>
      </c>
      <c r="G58" s="74">
        <f>14/647*1000</f>
        <v>21.638330757341574</v>
      </c>
      <c r="H58" s="76">
        <f>(20+14)/(673+647)*1000</f>
        <v>25.757575757575758</v>
      </c>
      <c r="I58" s="169">
        <f>((16+27+32)/(861+800+700))*1000</f>
        <v>31.76620076238882</v>
      </c>
      <c r="J58" s="74">
        <f>21/643*1000</f>
        <v>32.65940902021773</v>
      </c>
      <c r="K58" s="76">
        <f>(20+14+21)/(673+647+643)*1000</f>
        <v>28.018339276617422</v>
      </c>
      <c r="L58" s="170">
        <f>((16+27+32+41)/(861+800+700+745))*1000</f>
        <v>37.347070186735351</v>
      </c>
      <c r="M58" s="168">
        <f>20/642*1000</f>
        <v>31.152647975077883</v>
      </c>
      <c r="N58" s="76">
        <f>(20+14+21+20)/(673+647+643+642)*1000</f>
        <v>28.790786948176585</v>
      </c>
      <c r="O58" s="170">
        <f>((16+27+32+41+27)/(861+800+700+745+656))*1000</f>
        <v>38.011695906432749</v>
      </c>
      <c r="P58" s="74">
        <f>19/581*1000</f>
        <v>32.702237521514633</v>
      </c>
      <c r="Q58" s="76">
        <f>(20+14+21+20+19)/(673+647+643+642+581)*1000</f>
        <v>29.504080351537979</v>
      </c>
      <c r="R58" s="170">
        <f>((16+27+32+41+27+14)/(861+800+700+745+656+674))*1000</f>
        <v>35.392245266005411</v>
      </c>
      <c r="S58" s="74">
        <f>30/615*1000</f>
        <v>48.780487804878049</v>
      </c>
      <c r="T58" s="76">
        <f>(20+14+21+20+19+30)/(673+647+643+642+581+615)*1000</f>
        <v>32.622993948960804</v>
      </c>
      <c r="U58" s="170">
        <f>((16+27+32+41+27+14+28)/(861+800+700+745+656+674+685))*1000</f>
        <v>36.125756688146843</v>
      </c>
      <c r="V58" s="74">
        <f>14/624*1000</f>
        <v>22.435897435897434</v>
      </c>
      <c r="W58" s="76">
        <f>(20+14+21+20+19+30+14)/(673+647+643+642+581+615+624)*1000</f>
        <v>31.186440677966104</v>
      </c>
      <c r="X58" s="103">
        <f>32/670*1000</f>
        <v>47.761194029850749</v>
      </c>
      <c r="Y58" s="191">
        <f>27/634*1000</f>
        <v>42.586750788643535</v>
      </c>
      <c r="Z58" s="76">
        <f>(20+14+21+20+19+30+14+27)/(673+647+643+642+581+615+624+634)*1000</f>
        <v>32.615141332279109</v>
      </c>
      <c r="AA58" s="131">
        <f>32/732*1000</f>
        <v>43.715846994535518</v>
      </c>
      <c r="AB58" s="191">
        <f>27/676*1000</f>
        <v>39.940828402366868</v>
      </c>
      <c r="AC58" s="76">
        <f>(20+14+21+20+19+30+14+27+27)/(673+647+643+642+581+615+624+634+676)*1000</f>
        <v>33.478639930252832</v>
      </c>
      <c r="AD58" s="188">
        <v>35.39</v>
      </c>
      <c r="AE58" s="259"/>
      <c r="AF58" s="260"/>
      <c r="AG58" s="128">
        <f>23/940*1000</f>
        <v>24.468085106382979</v>
      </c>
      <c r="AH58" s="250"/>
      <c r="AI58" s="251"/>
      <c r="AJ58" s="123"/>
      <c r="AK58" s="123"/>
      <c r="AL58" s="123"/>
      <c r="AM58" s="18"/>
    </row>
    <row r="59" spans="1:39" ht="29.25" customHeight="1" x14ac:dyDescent="0.2">
      <c r="A59" s="31">
        <v>4</v>
      </c>
      <c r="B59" s="154" t="s">
        <v>102</v>
      </c>
      <c r="C59" s="155" t="s">
        <v>103</v>
      </c>
      <c r="D59" s="248" t="s">
        <v>129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5"/>
      <c r="Y59" s="254"/>
      <c r="Z59" s="254"/>
      <c r="AA59" s="255"/>
      <c r="AB59" s="254"/>
      <c r="AC59" s="254"/>
      <c r="AD59" s="254"/>
      <c r="AE59" s="254"/>
      <c r="AF59" s="254"/>
      <c r="AG59" s="254"/>
      <c r="AH59" s="254"/>
      <c r="AI59" s="249"/>
      <c r="AJ59" s="123"/>
      <c r="AK59" s="123"/>
      <c r="AL59" s="123"/>
      <c r="AM59" s="18"/>
    </row>
    <row r="60" spans="1:39" ht="27" customHeight="1" x14ac:dyDescent="0.2">
      <c r="A60" s="31"/>
      <c r="B60" s="154" t="s">
        <v>102</v>
      </c>
      <c r="C60" s="155" t="s">
        <v>103</v>
      </c>
      <c r="D60" s="252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5"/>
      <c r="Y60" s="255"/>
      <c r="Z60" s="256"/>
      <c r="AA60" s="255"/>
      <c r="AB60" s="256"/>
      <c r="AC60" s="256"/>
      <c r="AD60" s="256"/>
      <c r="AE60" s="256"/>
      <c r="AF60" s="256"/>
      <c r="AG60" s="256"/>
      <c r="AH60" s="256"/>
      <c r="AI60" s="253"/>
      <c r="AJ60" s="123"/>
      <c r="AK60" s="123"/>
      <c r="AL60" s="123"/>
      <c r="AM60" s="18"/>
    </row>
    <row r="61" spans="1:39" ht="33" customHeight="1" x14ac:dyDescent="0.2">
      <c r="A61" s="31">
        <v>5</v>
      </c>
      <c r="B61" s="154" t="s">
        <v>104</v>
      </c>
      <c r="C61" s="155" t="s">
        <v>123</v>
      </c>
      <c r="D61" s="88">
        <v>0</v>
      </c>
      <c r="E61" s="88">
        <v>0</v>
      </c>
      <c r="F61" s="88">
        <v>0</v>
      </c>
      <c r="G61" s="74">
        <f>1/647*100000</f>
        <v>154.5595054095827</v>
      </c>
      <c r="H61" s="78">
        <f>1/(673+647)*100000</f>
        <v>75.757575757575751</v>
      </c>
      <c r="I61" s="88">
        <v>0</v>
      </c>
      <c r="J61" s="95">
        <f>1/643*100000</f>
        <v>155.52099533437013</v>
      </c>
      <c r="K61" s="78">
        <f>2/(673+645+643)*100000</f>
        <v>101.98878123406426</v>
      </c>
      <c r="L61" s="171">
        <f>3/685*100000</f>
        <v>437.95620437956211</v>
      </c>
      <c r="M61" s="172">
        <v>0</v>
      </c>
      <c r="N61" s="78">
        <f>2/(673+645+643+642)*100000</f>
        <v>76.834421820975805</v>
      </c>
      <c r="O61" s="189">
        <f>1/3762*100000</f>
        <v>26.581605528973952</v>
      </c>
      <c r="P61" s="74">
        <v>0</v>
      </c>
      <c r="Q61" s="78">
        <f>2/(673+645+643+642+581)*100000</f>
        <v>62.814070351758794</v>
      </c>
      <c r="R61" s="69">
        <f>1/4436*100000</f>
        <v>22.54283137962128</v>
      </c>
      <c r="S61" s="74">
        <v>0</v>
      </c>
      <c r="T61" s="78">
        <f>2/(673+645+643+642+581+615)*100000</f>
        <v>52.645433008686496</v>
      </c>
      <c r="U61" s="69">
        <f>1/5121*100000</f>
        <v>19.527436047646944</v>
      </c>
      <c r="V61" s="95">
        <v>0</v>
      </c>
      <c r="W61" s="78">
        <f>2/(673+645+643+642+581+615+624)*100000</f>
        <v>45.218177707438393</v>
      </c>
      <c r="X61" s="103">
        <f>1/670*100000</f>
        <v>149.25373134328359</v>
      </c>
      <c r="Y61" s="192">
        <f>0/634*100000</f>
        <v>0</v>
      </c>
      <c r="Z61" s="78">
        <f>2/(673+645+643+642+581+615+624+634)*100000</f>
        <v>39.549139806209219</v>
      </c>
      <c r="AA61" s="131">
        <f>1/732*100000</f>
        <v>136.61202185792351</v>
      </c>
      <c r="AB61" s="193">
        <f>0/679*100000</f>
        <v>0</v>
      </c>
      <c r="AC61" s="78">
        <f>2/(673+645+643+642+581+615+624+634+676)*100000</f>
        <v>34.885749171463459</v>
      </c>
      <c r="AD61" s="189">
        <v>0</v>
      </c>
      <c r="AE61" s="248" t="s">
        <v>136</v>
      </c>
      <c r="AF61" s="249"/>
      <c r="AG61" s="129">
        <f>1/940*100000</f>
        <v>106.38297872340426</v>
      </c>
      <c r="AH61" s="252" t="s">
        <v>124</v>
      </c>
      <c r="AI61" s="253"/>
      <c r="AJ61" s="123"/>
      <c r="AK61" s="123"/>
      <c r="AL61" s="123"/>
      <c r="AM61" s="18"/>
    </row>
    <row r="62" spans="1:39" ht="29.25" customHeight="1" x14ac:dyDescent="0.2">
      <c r="A62" s="31">
        <v>6</v>
      </c>
      <c r="B62" s="154" t="s">
        <v>106</v>
      </c>
      <c r="C62" s="155" t="s">
        <v>57</v>
      </c>
      <c r="D62" s="68">
        <f>761/9684*100</f>
        <v>7.8583230070218919</v>
      </c>
      <c r="E62" s="68">
        <f>761/9661*100</f>
        <v>7.8770313632129181</v>
      </c>
      <c r="F62" s="138">
        <f>1522/9684*100</f>
        <v>15.716646014043784</v>
      </c>
      <c r="G62" s="138">
        <f>761/9661*100</f>
        <v>7.8770313632129181</v>
      </c>
      <c r="H62" s="138">
        <f>(761+761)/9661*100</f>
        <v>15.754062726425836</v>
      </c>
      <c r="I62" s="68">
        <f>(702+822+826)/9982*100</f>
        <v>23.542376277299137</v>
      </c>
      <c r="J62" s="138">
        <f>760/9661*100</f>
        <v>7.8666804678604692</v>
      </c>
      <c r="K62" s="138">
        <f>(761+761+760)/9661*100</f>
        <v>23.620743194286305</v>
      </c>
      <c r="L62" s="68">
        <f>(702+822+826)/9982*100</f>
        <v>23.542376277299137</v>
      </c>
      <c r="M62" s="173">
        <f>650/9661*100</f>
        <v>6.7280819790911908</v>
      </c>
      <c r="N62" s="138">
        <f>(761+761+760+650)/9661*100</f>
        <v>30.348825173377499</v>
      </c>
      <c r="O62" s="68">
        <f>(702+822+826+1568)/9982*100</f>
        <v>39.250651172109798</v>
      </c>
      <c r="P62" s="190">
        <f>870/9661*100</f>
        <v>9.0052789566297484</v>
      </c>
      <c r="Q62" s="138">
        <f>(761+761+760+650+870)/9661*100</f>
        <v>39.354104130007244</v>
      </c>
      <c r="R62" s="174">
        <v>6.6720096173111605</v>
      </c>
      <c r="S62" s="174">
        <f>760/9661*100</f>
        <v>7.8666804678604692</v>
      </c>
      <c r="T62" s="138">
        <f>(761+761+760+650+870+760)/9661*100</f>
        <v>47.220784597867713</v>
      </c>
      <c r="U62" s="46">
        <f>(702+822+826+0+1568+784+778)/9982*100</f>
        <v>54.8988178721699</v>
      </c>
      <c r="V62" s="47">
        <f>760/9661*100</f>
        <v>7.8666804678604692</v>
      </c>
      <c r="W62" s="138">
        <f>(761+761+760+650+870+760+760)/9661*100</f>
        <v>55.087465065728182</v>
      </c>
      <c r="X62" s="103">
        <f>5964/9232*100</f>
        <v>64.601386481802422</v>
      </c>
      <c r="Y62" s="49">
        <f>760/9661*100</f>
        <v>7.8666804678604692</v>
      </c>
      <c r="Z62" s="72">
        <f>(761+761+760+650+870+760+760+760)/9661*100</f>
        <v>62.954145533588658</v>
      </c>
      <c r="AA62" s="52">
        <f>(702+822+826+0+1568+784+778+559+728)/9982*100</f>
        <v>67.792025646163097</v>
      </c>
      <c r="AB62" s="49">
        <f>760/9661*100</f>
        <v>7.8666804678604692</v>
      </c>
      <c r="AC62" s="72">
        <f>(761+761+760+650+870+760+760+760+760)/9661*100</f>
        <v>70.82082600144912</v>
      </c>
      <c r="AD62" s="51">
        <v>8.24</v>
      </c>
      <c r="AE62" s="194">
        <f>760/9661*100</f>
        <v>7.8666804678604692</v>
      </c>
      <c r="AF62" s="72">
        <f>(761+761+760+650+870+760+760+760+760+760)/9661*100</f>
        <v>78.687506469309596</v>
      </c>
      <c r="AG62" s="57">
        <f>8298/9610*100</f>
        <v>86.347554630593137</v>
      </c>
      <c r="AH62" s="56"/>
      <c r="AI62" s="57"/>
      <c r="AJ62" s="123"/>
      <c r="AK62" s="123"/>
      <c r="AL62" s="123"/>
      <c r="AM62" s="18"/>
    </row>
    <row r="63" spans="1:39" ht="17.25" customHeight="1" x14ac:dyDescent="0.2">
      <c r="A63" s="31">
        <v>7</v>
      </c>
      <c r="B63" s="154" t="s">
        <v>107</v>
      </c>
      <c r="C63" s="155" t="s">
        <v>57</v>
      </c>
      <c r="D63" s="70">
        <f>291/800*100</f>
        <v>36.375</v>
      </c>
      <c r="E63" s="70">
        <f>420/620*100</f>
        <v>67.741935483870961</v>
      </c>
      <c r="F63" s="68">
        <v>65.709999999999994</v>
      </c>
      <c r="G63" s="68">
        <f>420/620*100</f>
        <v>67.741935483870961</v>
      </c>
      <c r="H63" s="75">
        <f>840/1240*100</f>
        <v>67.741935483870961</v>
      </c>
      <c r="I63" s="166">
        <f>((655+603+550)/(868+800+700))*100</f>
        <v>76.351351351351354</v>
      </c>
      <c r="J63" s="166">
        <f>420/620*100</f>
        <v>67.741935483870961</v>
      </c>
      <c r="K63" s="75">
        <f>(840+420)/(1240+620)*100</f>
        <v>67.741935483870961</v>
      </c>
      <c r="L63" s="167">
        <f>((655+603+550+550)/(868+800+700+759))*100</f>
        <v>75.407739047009912</v>
      </c>
      <c r="M63" s="167">
        <f>420/620*100</f>
        <v>67.741935483870961</v>
      </c>
      <c r="N63" s="75">
        <f>(840+420+420)/(1240+620+620)*100</f>
        <v>67.741935483870961</v>
      </c>
      <c r="O63" s="167">
        <f>((655+603+550+550+673)/(868+800+700+759+734))*100</f>
        <v>78.502978502978507</v>
      </c>
      <c r="P63" s="190">
        <f>445/620*100</f>
        <v>71.774193548387103</v>
      </c>
      <c r="Q63" s="175">
        <f>(840+420+420+445)/(1240+620+620+620)*100</f>
        <v>68.548387096774192</v>
      </c>
      <c r="R63" s="81">
        <f>440/639*100</f>
        <v>68.85758998435054</v>
      </c>
      <c r="S63" s="82">
        <f>475/620*100</f>
        <v>76.612903225806448</v>
      </c>
      <c r="T63" s="175">
        <f>(840+420+420+445+475)/(1240+620+620+620+620)*100</f>
        <v>69.892473118279568</v>
      </c>
      <c r="U63" s="167">
        <f>((655+603+550+550+673+485+491)/(868+800+700+759+734+684+662))*100</f>
        <v>76.954100249663909</v>
      </c>
      <c r="V63" s="167">
        <f>445/620*100</f>
        <v>71.774193548387103</v>
      </c>
      <c r="W63" s="75">
        <f>(840+420+420+445+475+445)/(1240+620+620+620+620+620)*100</f>
        <v>70.161290322580655</v>
      </c>
      <c r="X63" s="103">
        <f>478/673*100</f>
        <v>71.025260029717685</v>
      </c>
      <c r="Y63" s="103">
        <f>490/650*100</f>
        <v>75.384615384615387</v>
      </c>
      <c r="Z63" s="75">
        <f>(840+420+420+445+475+445+490)/(1240+620+620+620+620+620+650)*100</f>
        <v>70.841683366733463</v>
      </c>
      <c r="AA63" s="48">
        <f>((655+603+550+550+673+485+491+487+440)/(868+800+700+759+734+684+662+657+620))*100</f>
        <v>76.095003084515739</v>
      </c>
      <c r="AB63" s="50">
        <f>495/650*100</f>
        <v>76.153846153846146</v>
      </c>
      <c r="AC63" s="48">
        <f>((655+603+550+550+673+485+491+487+440+495)/(868+800+700+759+734+684+662+657+620+650))*100</f>
        <v>76.10036445192037</v>
      </c>
      <c r="AD63" s="50">
        <v>64.069999999999993</v>
      </c>
      <c r="AE63" s="166">
        <f>520/680 *100</f>
        <v>76.470588235294116</v>
      </c>
      <c r="AF63" s="48">
        <f>((655+603+550+550+673+485+491+487+440+495+520)/(868+800+700+759+734+684+662+657+620+650+680))*100</f>
        <v>76.132582544151532</v>
      </c>
      <c r="AG63" s="50">
        <f>((655+603+550+550+673+485+491+478+440+633+674)/(868+800+700+759+734+684+622+657+620+910+971))*100</f>
        <v>74.858858858858852</v>
      </c>
      <c r="AH63" s="50"/>
      <c r="AI63" s="50"/>
      <c r="AJ63" s="123"/>
      <c r="AK63" s="123"/>
      <c r="AL63" s="123"/>
      <c r="AM63" s="18"/>
    </row>
    <row r="64" spans="1:39" ht="19.5" customHeight="1" x14ac:dyDescent="0.2">
      <c r="A64" s="31">
        <v>8</v>
      </c>
      <c r="B64" s="154" t="s">
        <v>108</v>
      </c>
      <c r="C64" s="155" t="s">
        <v>57</v>
      </c>
      <c r="D64" s="70">
        <f>565/800*100</f>
        <v>70.625</v>
      </c>
      <c r="E64" s="70">
        <f>448/620*100</f>
        <v>72.258064516129025</v>
      </c>
      <c r="F64" s="68">
        <f>485/700*100</f>
        <v>69.285714285714278</v>
      </c>
      <c r="G64" s="68">
        <f>448/620*100</f>
        <v>72.258064516129025</v>
      </c>
      <c r="H64" s="68">
        <f>896/1240*100</f>
        <v>72.258064516129025</v>
      </c>
      <c r="I64" s="166">
        <f>((731+562+650)/(868+800+700))*100</f>
        <v>82.05236486486487</v>
      </c>
      <c r="J64" s="166">
        <f>448/620*100</f>
        <v>72.258064516129025</v>
      </c>
      <c r="K64" s="68">
        <f>(896+448)/(1240+620)*100</f>
        <v>72.258064516129025</v>
      </c>
      <c r="L64" s="167">
        <f>((731+562+584)/(868+800+700+759))*100</f>
        <v>60.025583626479047</v>
      </c>
      <c r="M64" s="167">
        <f>448/620*100</f>
        <v>72.258064516129025</v>
      </c>
      <c r="N64" s="68">
        <f>(896+448+448)/(1240+620+620)*100</f>
        <v>72.258064516129025</v>
      </c>
      <c r="O64" s="167">
        <f>((731+562+584+650+592)/(868+800+700+759+734))*100</f>
        <v>80.782180782180774</v>
      </c>
      <c r="P64" s="190">
        <f>488/620*100</f>
        <v>78.709677419354847</v>
      </c>
      <c r="Q64" s="68">
        <f>(896+448+448+488)/(1240+620+620+620)*100</f>
        <v>73.548387096774192</v>
      </c>
      <c r="R64" s="81">
        <f>489/639*100</f>
        <v>76.525821596244143</v>
      </c>
      <c r="S64" s="82">
        <f>500/620*100</f>
        <v>80.645161290322577</v>
      </c>
      <c r="T64" s="68">
        <f>(896+448+448+488+500)/(1240+620+620+620+620)*100</f>
        <v>74.731182795698928</v>
      </c>
      <c r="U64" s="167">
        <f>((731+562+584+650+592+530+520)/(868+800+700+759+734+684+662))*100</f>
        <v>80.065296715959292</v>
      </c>
      <c r="V64" s="167">
        <f>488/620*100</f>
        <v>78.709677419354847</v>
      </c>
      <c r="W64" s="68">
        <f>(896+448+448+488+500+488)/(1240+620+620+620+620+620)*100</f>
        <v>75.299539170506918</v>
      </c>
      <c r="X64" s="103">
        <f>524/673*100</f>
        <v>77.860326894502236</v>
      </c>
      <c r="Y64" s="103">
        <f>515/650*100</f>
        <v>79.230769230769226</v>
      </c>
      <c r="Z64" s="68">
        <f>(896+448+448+488+500+488+515)/(1240+620+620+620+620+620+650)*100</f>
        <v>75.811623246492985</v>
      </c>
      <c r="AA64" s="48">
        <f>((731+562+584+650+592+630+520+516+492)/(868+800+700+759+734+684+622+657+620))*100</f>
        <v>81.890130353817497</v>
      </c>
      <c r="AB64" s="50">
        <f>515/650*100</f>
        <v>79.230769230769226</v>
      </c>
      <c r="AC64" s="48">
        <f>((731+562+584+650+592+630+520+516+492+515)/(868+800+700+759+734+684+622+657+620+650))*100</f>
        <v>81.646461798703129</v>
      </c>
      <c r="AD64" s="50">
        <v>79.64</v>
      </c>
      <c r="AE64" s="166">
        <f>540/680 *100</f>
        <v>79.411764705882348</v>
      </c>
      <c r="AF64" s="48">
        <f>((731+562+584+650+592+630+520+516+492+515+540)/(868+800+700+759+734+684+622+657+620+650+680))*100</f>
        <v>81.450990481090813</v>
      </c>
      <c r="AG64" s="50">
        <f>((731+562+584+650+592+630+520+516+492+730+749)/(868+800+700+759+734+684+622+657+620+910+971))*100</f>
        <v>81.153153153153156</v>
      </c>
      <c r="AH64" s="50"/>
      <c r="AI64" s="50"/>
      <c r="AJ64" s="123"/>
      <c r="AK64" s="123"/>
      <c r="AL64" s="123"/>
      <c r="AM64" s="18"/>
    </row>
    <row r="65" spans="1:40" ht="19.5" customHeight="1" x14ac:dyDescent="0.2">
      <c r="A65" s="31">
        <v>9</v>
      </c>
      <c r="B65" s="154" t="s">
        <v>109</v>
      </c>
      <c r="C65" s="155"/>
      <c r="D65" s="187"/>
      <c r="E65" s="187"/>
      <c r="F65" s="187"/>
      <c r="G65" s="187"/>
      <c r="H65" s="187"/>
      <c r="I65" s="187"/>
      <c r="J65" s="187"/>
      <c r="K65" s="187"/>
      <c r="L65" s="185"/>
      <c r="M65" s="185"/>
      <c r="N65" s="187"/>
      <c r="O65" s="185"/>
      <c r="P65" s="185"/>
      <c r="Q65" s="185"/>
      <c r="R65" s="187"/>
      <c r="S65" s="187"/>
      <c r="T65" s="187"/>
      <c r="U65" s="90"/>
      <c r="V65" s="90"/>
      <c r="W65" s="90"/>
      <c r="X65" s="109"/>
      <c r="Y65" s="109"/>
      <c r="Z65" s="109"/>
      <c r="AA65" s="109"/>
      <c r="AB65" s="187"/>
      <c r="AC65" s="187"/>
      <c r="AD65" s="123"/>
      <c r="AE65" s="109"/>
      <c r="AF65" s="123"/>
      <c r="AG65" s="123"/>
      <c r="AH65" s="123"/>
      <c r="AI65" s="123"/>
      <c r="AJ65" s="123"/>
      <c r="AK65" s="123"/>
      <c r="AL65" s="123"/>
      <c r="AM65" s="18"/>
    </row>
    <row r="66" spans="1:40" ht="18" customHeight="1" x14ac:dyDescent="0.2">
      <c r="A66" s="34"/>
      <c r="B66" s="159" t="s">
        <v>110</v>
      </c>
      <c r="C66" s="157" t="s">
        <v>59</v>
      </c>
      <c r="D66" s="185">
        <v>0</v>
      </c>
      <c r="E66" s="190">
        <f>1/E11*1000</f>
        <v>2.0641752071915865E-3</v>
      </c>
      <c r="F66" s="185">
        <v>0</v>
      </c>
      <c r="G66" s="190">
        <f>3/G11*1000</f>
        <v>6.1925256215747595E-3</v>
      </c>
      <c r="H66" s="190">
        <f>4/H11*1000</f>
        <v>8.256700828766346E-3</v>
      </c>
      <c r="I66" s="190">
        <f>20/I11*1000</f>
        <v>4.1803398616307504E-2</v>
      </c>
      <c r="J66" s="190">
        <f>0/J11*1000</f>
        <v>0</v>
      </c>
      <c r="K66" s="190">
        <f>4/K11*1000</f>
        <v>8.256700828766346E-3</v>
      </c>
      <c r="L66" s="176">
        <f>30/469102*1000</f>
        <v>6.3951976329241836E-2</v>
      </c>
      <c r="M66" s="139">
        <f>21/M11*1000</f>
        <v>4.3347679351023315E-2</v>
      </c>
      <c r="N66" s="190">
        <f>(4+21)/N11*1000</f>
        <v>5.1604380179789661E-2</v>
      </c>
      <c r="O66" s="190">
        <f>30/O11*1000</f>
        <v>6.2705097924461259E-2</v>
      </c>
      <c r="P66" s="190">
        <f>7/P11*1000</f>
        <v>1.4449226450341105E-2</v>
      </c>
      <c r="Q66" s="190">
        <f>(4+21+7)/Q11*1000</f>
        <v>6.6053606630130768E-2</v>
      </c>
      <c r="R66" s="80">
        <v>2.7371878553080389E-2</v>
      </c>
      <c r="S66" s="79">
        <f>14/S11*1000</f>
        <v>2.8893860467420106E-2</v>
      </c>
      <c r="T66" s="190">
        <f>(4+21+7+14)/T11*1000</f>
        <v>9.4936970107237506E-2</v>
      </c>
      <c r="U66" s="190">
        <f>42/U11*1000</f>
        <v>8.7787137094245765E-2</v>
      </c>
      <c r="V66" s="190">
        <f>1/V11*1000</f>
        <v>2.0638471762442932E-3</v>
      </c>
      <c r="W66" s="190">
        <f>(4+21+7+14+1)/W11*1000</f>
        <v>9.7000817283481783E-2</v>
      </c>
      <c r="X66" s="36">
        <v>0.06</v>
      </c>
      <c r="Y66" s="36">
        <f>4/Y11*1000</f>
        <v>8.2553887049771728E-3</v>
      </c>
      <c r="Z66" s="124">
        <f>(4+21+7+14+1+4)/Z11*1000</f>
        <v>0.10525620598845897</v>
      </c>
      <c r="AA66" s="36">
        <f>53/AA11*1000</f>
        <v>0.1107790063332149</v>
      </c>
      <c r="AB66" s="36">
        <f>4/AB11*1000</f>
        <v>8.2637286356790629E-3</v>
      </c>
      <c r="AC66" s="124">
        <f>(4+21+7+14+1+4+4+4)/AC11*1000</f>
        <v>0.12188999737626616</v>
      </c>
      <c r="AD66" s="124">
        <f>57/AD11*1000</f>
        <v>0.1191396860564764</v>
      </c>
      <c r="AE66" s="124">
        <f>17/AE11*1000</f>
        <v>3.512084670163601E-2</v>
      </c>
      <c r="AF66" s="124">
        <f>(4+21+7+14+1+4+4+4+4+17)/AF11*1000</f>
        <v>0.16527457271358123</v>
      </c>
      <c r="AG66" s="58">
        <f>69/AG11*1000</f>
        <v>0.14422172522626089</v>
      </c>
      <c r="AH66" s="58"/>
      <c r="AI66" s="58"/>
      <c r="AJ66" s="123"/>
      <c r="AK66" s="123"/>
      <c r="AL66" s="123"/>
      <c r="AM66" s="18"/>
    </row>
    <row r="67" spans="1:40" ht="18.75" customHeight="1" x14ac:dyDescent="0.2">
      <c r="A67" s="32"/>
      <c r="B67" s="159" t="s">
        <v>111</v>
      </c>
      <c r="C67" s="177" t="s">
        <v>112</v>
      </c>
      <c r="D67" s="190">
        <f>5/D11*100000</f>
        <v>1.0450849654076875</v>
      </c>
      <c r="E67" s="190">
        <f>7/E11*100000</f>
        <v>1.4449226450341106</v>
      </c>
      <c r="F67" s="78">
        <f>(5+12)/F11*100000</f>
        <v>3.5532888823861377</v>
      </c>
      <c r="G67" s="78">
        <f>21/G11*100000</f>
        <v>4.3347679351023318</v>
      </c>
      <c r="H67" s="78">
        <f>28/H11*100000</f>
        <v>5.7796905801364424</v>
      </c>
      <c r="I67" s="78">
        <f>21/I11*100000</f>
        <v>4.3893568547122879</v>
      </c>
      <c r="J67" s="78">
        <f>3/J11*100000</f>
        <v>0.61925256215747593</v>
      </c>
      <c r="K67" s="78">
        <f>31/K11*100000</f>
        <v>6.3989431422939171</v>
      </c>
      <c r="L67" s="78">
        <f t="shared" ref="L67" si="42">21/L11*1000</f>
        <v>4.3893568547122883E-2</v>
      </c>
      <c r="M67" s="78">
        <f>14/M11*100000</f>
        <v>2.8898452900682212</v>
      </c>
      <c r="N67" s="78">
        <f>(31+14)/N11*100000</f>
        <v>9.2887884323621392</v>
      </c>
      <c r="O67" s="78">
        <f t="shared" ref="O67" si="43">21/O11*1000</f>
        <v>4.3893568547122883E-2</v>
      </c>
      <c r="P67" s="78">
        <f>24/P11*100000</f>
        <v>4.9540204972598074</v>
      </c>
      <c r="Q67" s="78">
        <f>(31+14+24)/Q11*100000</f>
        <v>14.242808929621946</v>
      </c>
      <c r="R67" s="190">
        <v>3.158293679201583</v>
      </c>
      <c r="S67" s="78">
        <f>28/S11*100000</f>
        <v>5.7787720934840214</v>
      </c>
      <c r="T67" s="78">
        <f>(31+14+24+28)/T11*100000</f>
        <v>20.019317609569647</v>
      </c>
      <c r="U67" s="78">
        <f t="shared" ref="U67" si="44">21/U11*1000</f>
        <v>4.3893568547122883E-2</v>
      </c>
      <c r="V67" s="78">
        <f>17/V11*100000</f>
        <v>3.5085401996152985</v>
      </c>
      <c r="W67" s="78">
        <f>(31+14+24+28+17)/W11*100000</f>
        <v>23.527857809184948</v>
      </c>
      <c r="X67" s="67">
        <f>6/X11*1000</f>
        <v>1.2541019584892251E-2</v>
      </c>
      <c r="Y67" s="67">
        <f>21/Y11*1000</f>
        <v>4.3340790701130165E-2</v>
      </c>
      <c r="Z67" s="67">
        <f>(31+14+24+28+17+21)/Z11*100000</f>
        <v>27.861936879297964</v>
      </c>
      <c r="AA67" s="67">
        <f t="shared" ref="AA67" si="45">21/AA11*1000</f>
        <v>4.3893568547122883E-2</v>
      </c>
      <c r="AB67" s="67">
        <f>59/AB11*1000</f>
        <v>0.12188999737626616</v>
      </c>
      <c r="AC67" s="67">
        <f>(31+14+24+28+17+21+59)/AC11*100000</f>
        <v>40.079083883043445</v>
      </c>
      <c r="AD67" s="67">
        <f t="shared" ref="AD67" si="46">21/AD11*1000</f>
        <v>4.3893568547122883E-2</v>
      </c>
      <c r="AE67" s="67">
        <f>13/AE11*1000</f>
        <v>2.6857118065956951E-2</v>
      </c>
      <c r="AF67" s="67">
        <f>(31+14+24+28+17+21+59+13)/AF11*100000</f>
        <v>42.764795689639143</v>
      </c>
      <c r="AG67" s="67">
        <f t="shared" ref="AG67" si="47">21/AG11*1000</f>
        <v>4.3893568547122883E-2</v>
      </c>
      <c r="AH67" s="67"/>
      <c r="AI67" s="67"/>
      <c r="AJ67" s="67" t="e">
        <f t="shared" ref="AJ67:AM67" si="48">21/AJ11*1000</f>
        <v>#DIV/0!</v>
      </c>
      <c r="AK67" s="67" t="e">
        <f t="shared" si="48"/>
        <v>#DIV/0!</v>
      </c>
      <c r="AL67" s="67" t="e">
        <f t="shared" si="48"/>
        <v>#DIV/0!</v>
      </c>
      <c r="AM67" s="67" t="e">
        <f t="shared" si="48"/>
        <v>#DIV/0!</v>
      </c>
      <c r="AN67" s="12"/>
    </row>
    <row r="68" spans="1:40" ht="18.75" customHeight="1" x14ac:dyDescent="0.2">
      <c r="A68" s="32"/>
      <c r="B68" s="159" t="s">
        <v>113</v>
      </c>
      <c r="C68" s="157" t="s">
        <v>57</v>
      </c>
      <c r="D68" s="185">
        <v>0.39</v>
      </c>
      <c r="E68" s="190">
        <f>1754/E11*100</f>
        <v>0.36205633134140425</v>
      </c>
      <c r="F68" s="190">
        <f>1812/F11*100</f>
        <v>0.37873879146374601</v>
      </c>
      <c r="G68" s="190">
        <f>1754/G11*100</f>
        <v>0.36205633134140425</v>
      </c>
      <c r="H68" s="190">
        <f>1754/H11*100</f>
        <v>0.36205633134140425</v>
      </c>
      <c r="I68" s="190">
        <f>1787/I11*100</f>
        <v>0.37351336663670753</v>
      </c>
      <c r="J68" s="190">
        <f>1742/J11*100</f>
        <v>0.35957932109277435</v>
      </c>
      <c r="K68" s="190">
        <f>1742/K11*100</f>
        <v>0.35957932109277435</v>
      </c>
      <c r="L68" s="178">
        <f>1790/469102*100</f>
        <v>0.38158012543114289</v>
      </c>
      <c r="M68" s="178">
        <f>1742/M11*100</f>
        <v>0.35957932109277435</v>
      </c>
      <c r="N68" s="178">
        <f>1742/N11*100</f>
        <v>0.35957932109277435</v>
      </c>
      <c r="O68" s="190">
        <f>1783/O11*100</f>
        <v>0.37267729866438143</v>
      </c>
      <c r="P68" s="190">
        <f>1740/P11*100</f>
        <v>0.35916648605133605</v>
      </c>
      <c r="Q68" s="190">
        <f>1740/Q11*100</f>
        <v>0.35916648605133605</v>
      </c>
      <c r="R68" s="178">
        <f>1822/R13*100</f>
        <v>2.1521125429654742</v>
      </c>
      <c r="S68" s="178">
        <f>1731/S11*100</f>
        <v>0.35725194620788719</v>
      </c>
      <c r="T68" s="166">
        <f>1731/T11*100</f>
        <v>0.35725194620788719</v>
      </c>
      <c r="U68" s="190">
        <f>1802/U11*100</f>
        <v>0.37664862153293066</v>
      </c>
      <c r="V68" s="178">
        <f>1728/V11*100</f>
        <v>0.35663279205501391</v>
      </c>
      <c r="W68" s="178">
        <f>1728/W11*100</f>
        <v>0.35663279205501391</v>
      </c>
      <c r="X68" s="124">
        <v>0.37</v>
      </c>
      <c r="Y68" s="124">
        <f>1721/Y11*100</f>
        <v>0.35518809903164289</v>
      </c>
      <c r="Z68" s="124">
        <f>1721/Z11*100</f>
        <v>0.35518809903164289</v>
      </c>
      <c r="AA68" s="124">
        <f>1816/AA11*100</f>
        <v>0.37957485943607217</v>
      </c>
      <c r="AB68" s="190">
        <f>1710/AB11*100</f>
        <v>0.35327439917527986</v>
      </c>
      <c r="AC68" s="190">
        <f>1710/AC11*100</f>
        <v>0.35327439917527986</v>
      </c>
      <c r="AD68" s="124">
        <f>1807/AD11*100</f>
        <v>0.37769370649833828</v>
      </c>
      <c r="AE68" s="124">
        <f>1707/AE11*100</f>
        <v>0.35265461952760396</v>
      </c>
      <c r="AF68" s="190">
        <f>1707/AF11*100</f>
        <v>0.35265461952760396</v>
      </c>
      <c r="AG68" s="124">
        <f>1818/AG11*100</f>
        <v>0.37999289342223525</v>
      </c>
      <c r="AH68" s="124"/>
      <c r="AI68" s="124"/>
      <c r="AJ68" s="123"/>
      <c r="AK68" s="123"/>
      <c r="AL68" s="123"/>
      <c r="AM68" s="18"/>
    </row>
    <row r="69" spans="1:40" ht="20.25" customHeight="1" x14ac:dyDescent="0.2">
      <c r="A69" s="31">
        <v>10</v>
      </c>
      <c r="B69" s="154" t="s">
        <v>114</v>
      </c>
      <c r="C69" s="146" t="s">
        <v>57</v>
      </c>
      <c r="D69" s="185"/>
      <c r="E69" s="185"/>
      <c r="F69" s="185"/>
      <c r="G69" s="185"/>
      <c r="H69" s="185"/>
      <c r="I69" s="185">
        <v>94</v>
      </c>
      <c r="J69" s="185"/>
      <c r="K69" s="185"/>
      <c r="L69" s="187"/>
      <c r="M69" s="187"/>
      <c r="N69" s="185"/>
      <c r="O69" s="185"/>
      <c r="P69" s="185"/>
      <c r="Q69" s="185"/>
      <c r="R69" s="190"/>
      <c r="S69" s="185"/>
      <c r="T69" s="190"/>
      <c r="U69" s="185"/>
      <c r="V69" s="185"/>
      <c r="W69" s="185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8"/>
    </row>
    <row r="70" spans="1:40" s="45" customFormat="1" ht="27.75" customHeight="1" x14ac:dyDescent="0.25">
      <c r="A70" s="64">
        <v>11</v>
      </c>
      <c r="B70" s="179" t="s">
        <v>127</v>
      </c>
      <c r="C70" s="180" t="s">
        <v>57</v>
      </c>
      <c r="D70" s="245" t="s">
        <v>134</v>
      </c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7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3"/>
      <c r="AI70" s="63"/>
      <c r="AJ70" s="24"/>
      <c r="AK70" s="24"/>
      <c r="AL70" s="24"/>
      <c r="AM70" s="24"/>
    </row>
    <row r="71" spans="1:40" s="45" customFormat="1" ht="28.5" customHeight="1" x14ac:dyDescent="0.25">
      <c r="A71" s="64">
        <v>12</v>
      </c>
      <c r="B71" s="179" t="s">
        <v>128</v>
      </c>
      <c r="C71" s="180" t="s">
        <v>57</v>
      </c>
      <c r="D71" s="245" t="s">
        <v>133</v>
      </c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7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3"/>
      <c r="AI71" s="63"/>
      <c r="AJ71" s="24"/>
      <c r="AK71" s="24"/>
      <c r="AL71" s="24"/>
      <c r="AM71" s="24"/>
    </row>
    <row r="72" spans="1:40" s="1" customFormat="1" ht="28.5" customHeight="1" x14ac:dyDescent="0.2">
      <c r="A72" s="60">
        <v>13</v>
      </c>
      <c r="B72" s="181" t="s">
        <v>115</v>
      </c>
      <c r="C72" s="182" t="s">
        <v>116</v>
      </c>
      <c r="D72" s="140">
        <v>2172</v>
      </c>
      <c r="E72" s="140">
        <v>2150</v>
      </c>
      <c r="F72" s="140">
        <v>2280</v>
      </c>
      <c r="G72" s="140">
        <v>2150</v>
      </c>
      <c r="H72" s="140">
        <v>2150</v>
      </c>
      <c r="I72" s="140">
        <v>2258</v>
      </c>
      <c r="J72" s="140">
        <v>2180</v>
      </c>
      <c r="K72" s="140">
        <v>2180</v>
      </c>
      <c r="L72" s="99">
        <v>2270</v>
      </c>
      <c r="M72" s="99">
        <v>2180</v>
      </c>
      <c r="N72" s="99">
        <v>2180</v>
      </c>
      <c r="O72" s="99">
        <v>2245</v>
      </c>
      <c r="P72" s="99">
        <v>2150</v>
      </c>
      <c r="Q72" s="183">
        <v>2150</v>
      </c>
      <c r="R72" s="99">
        <v>2295</v>
      </c>
      <c r="S72" s="99">
        <v>2120</v>
      </c>
      <c r="T72" s="183">
        <v>2120</v>
      </c>
      <c r="U72" s="99">
        <v>2315</v>
      </c>
      <c r="V72" s="99">
        <v>2050</v>
      </c>
      <c r="W72" s="99">
        <v>2050</v>
      </c>
      <c r="X72" s="61">
        <v>2041</v>
      </c>
      <c r="Y72" s="61">
        <v>2050</v>
      </c>
      <c r="Z72" s="61">
        <v>2050</v>
      </c>
      <c r="AA72" s="61">
        <v>2324</v>
      </c>
      <c r="AB72" s="99">
        <v>2040</v>
      </c>
      <c r="AC72" s="99">
        <v>2040</v>
      </c>
      <c r="AD72" s="61">
        <v>2147</v>
      </c>
      <c r="AE72" s="61">
        <v>2015</v>
      </c>
      <c r="AF72" s="61">
        <v>2015</v>
      </c>
      <c r="AG72" s="59">
        <v>2293</v>
      </c>
      <c r="AH72" s="59"/>
      <c r="AI72" s="59"/>
      <c r="AJ72" s="60"/>
      <c r="AK72" s="60"/>
      <c r="AL72" s="60"/>
      <c r="AM72" s="60"/>
    </row>
  </sheetData>
  <mergeCells count="27">
    <mergeCell ref="A1:B1"/>
    <mergeCell ref="A5:A6"/>
    <mergeCell ref="B5:B6"/>
    <mergeCell ref="C5:C6"/>
    <mergeCell ref="A3:Q3"/>
    <mergeCell ref="A2:Q2"/>
    <mergeCell ref="B9:AM9"/>
    <mergeCell ref="D5:E5"/>
    <mergeCell ref="AJ5:AL5"/>
    <mergeCell ref="F5:H5"/>
    <mergeCell ref="I5:K5"/>
    <mergeCell ref="AA5:AC5"/>
    <mergeCell ref="AD5:AF5"/>
    <mergeCell ref="L5:N5"/>
    <mergeCell ref="O5:Q5"/>
    <mergeCell ref="R5:T5"/>
    <mergeCell ref="AM5:AM6"/>
    <mergeCell ref="AG5:AI5"/>
    <mergeCell ref="U5:W5"/>
    <mergeCell ref="X5:Z5"/>
    <mergeCell ref="D70:W70"/>
    <mergeCell ref="D71:W71"/>
    <mergeCell ref="AH57:AI58"/>
    <mergeCell ref="AH61:AI61"/>
    <mergeCell ref="D59:AI60"/>
    <mergeCell ref="AE57:AF58"/>
    <mergeCell ref="AE61:AF61"/>
  </mergeCells>
  <pageMargins left="0.35433070866141736" right="0.19685039370078741" top="0.39370078740157483" bottom="0.354330708661417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J41" sqref="J41"/>
    </sheetView>
  </sheetViews>
  <sheetFormatPr defaultRowHeight="12.75" x14ac:dyDescent="0.2"/>
  <cols>
    <col min="1" max="1" width="4.5" style="7" customWidth="1"/>
    <col min="2" max="2" width="25.75" style="7" customWidth="1"/>
    <col min="3" max="3" width="9" style="7"/>
    <col min="4" max="4" width="9.875" style="19" bestFit="1" customWidth="1"/>
    <col min="5" max="5" width="9.375" style="20" customWidth="1"/>
    <col min="6" max="6" width="9.875" style="20" bestFit="1" customWidth="1"/>
    <col min="7" max="7" width="9.875" style="20" customWidth="1"/>
    <col min="8" max="8" width="10.75" style="21" customWidth="1"/>
    <col min="9" max="9" width="9" style="21"/>
    <col min="10" max="10" width="12.25" style="1" customWidth="1"/>
    <col min="11" max="11" width="10.5" style="7" customWidth="1"/>
    <col min="12" max="16384" width="9" style="7"/>
  </cols>
  <sheetData>
    <row r="1" spans="1:11" ht="15.75" x14ac:dyDescent="0.25">
      <c r="A1" s="269" t="s">
        <v>149</v>
      </c>
      <c r="B1" s="269"/>
      <c r="C1" s="2"/>
      <c r="D1" s="3"/>
      <c r="E1" s="4"/>
      <c r="F1" s="4"/>
      <c r="G1" s="4"/>
      <c r="H1" s="5"/>
      <c r="I1" s="5"/>
      <c r="J1" s="6"/>
      <c r="K1" s="2"/>
    </row>
    <row r="2" spans="1:11" ht="15.75" customHeight="1" x14ac:dyDescent="0.25">
      <c r="A2" s="273" t="s">
        <v>150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5.75" x14ac:dyDescent="0.25">
      <c r="A3" s="272" t="s">
        <v>148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2.75" customHeight="1" x14ac:dyDescent="0.2">
      <c r="A5" s="274" t="s">
        <v>8</v>
      </c>
      <c r="B5" s="275" t="s">
        <v>9</v>
      </c>
      <c r="C5" s="275" t="s">
        <v>10</v>
      </c>
      <c r="D5" s="276" t="s">
        <v>142</v>
      </c>
      <c r="E5" s="276" t="s">
        <v>137</v>
      </c>
      <c r="F5" s="276"/>
      <c r="G5" s="276" t="s">
        <v>145</v>
      </c>
      <c r="H5" s="276" t="s">
        <v>0</v>
      </c>
      <c r="I5" s="276"/>
      <c r="J5" s="277" t="s">
        <v>1</v>
      </c>
      <c r="K5" s="280" t="s">
        <v>2</v>
      </c>
    </row>
    <row r="6" spans="1:11" ht="94.5" customHeight="1" x14ac:dyDescent="0.2">
      <c r="A6" s="274"/>
      <c r="B6" s="275"/>
      <c r="C6" s="275"/>
      <c r="D6" s="276"/>
      <c r="E6" s="108" t="s">
        <v>3</v>
      </c>
      <c r="F6" s="108" t="s">
        <v>4</v>
      </c>
      <c r="G6" s="276"/>
      <c r="H6" s="108" t="s">
        <v>14</v>
      </c>
      <c r="I6" s="108" t="s">
        <v>138</v>
      </c>
      <c r="J6" s="277"/>
      <c r="K6" s="280"/>
    </row>
    <row r="7" spans="1:11" x14ac:dyDescent="0.2">
      <c r="A7" s="8" t="s">
        <v>5</v>
      </c>
      <c r="B7" s="8" t="s">
        <v>6</v>
      </c>
      <c r="C7" s="8" t="s">
        <v>7</v>
      </c>
      <c r="D7" s="9">
        <v>1</v>
      </c>
      <c r="E7" s="9">
        <v>2</v>
      </c>
      <c r="F7" s="9">
        <v>6</v>
      </c>
      <c r="G7" s="9"/>
      <c r="H7" s="10">
        <v>7</v>
      </c>
      <c r="I7" s="10">
        <v>8</v>
      </c>
      <c r="J7" s="8">
        <v>9</v>
      </c>
      <c r="K7" s="8">
        <v>10</v>
      </c>
    </row>
    <row r="8" spans="1:11" x14ac:dyDescent="0.2">
      <c r="A8" s="13" t="s">
        <v>11</v>
      </c>
      <c r="B8" s="110" t="s">
        <v>12</v>
      </c>
      <c r="C8" s="110"/>
      <c r="D8" s="110"/>
      <c r="E8" s="110"/>
      <c r="F8" s="110"/>
      <c r="G8" s="110"/>
      <c r="H8" s="110"/>
      <c r="I8" s="110"/>
      <c r="J8" s="110"/>
      <c r="K8" s="110"/>
    </row>
    <row r="9" spans="1:11" x14ac:dyDescent="0.2">
      <c r="A9" s="29"/>
      <c r="B9" s="195" t="s">
        <v>43</v>
      </c>
      <c r="C9" s="29"/>
      <c r="D9" s="196"/>
      <c r="E9" s="114"/>
      <c r="F9" s="196"/>
      <c r="G9" s="196"/>
      <c r="H9" s="115"/>
      <c r="I9" s="116"/>
      <c r="J9" s="197"/>
      <c r="K9" s="13"/>
    </row>
    <row r="10" spans="1:11" x14ac:dyDescent="0.2">
      <c r="A10" s="29">
        <v>1</v>
      </c>
      <c r="B10" s="198" t="s">
        <v>44</v>
      </c>
      <c r="C10" s="199" t="s">
        <v>56</v>
      </c>
      <c r="D10" s="200">
        <f t="shared" ref="D10" si="0">D12+D13</f>
        <v>478430</v>
      </c>
      <c r="E10" s="120">
        <f>E12+E13</f>
        <v>484455</v>
      </c>
      <c r="F10" s="120">
        <f>F12+F13</f>
        <v>483985</v>
      </c>
      <c r="G10" s="120">
        <f>G12+G13</f>
        <v>489972</v>
      </c>
      <c r="H10" s="115"/>
      <c r="I10" s="116"/>
      <c r="J10" s="197"/>
      <c r="K10" s="13"/>
    </row>
    <row r="11" spans="1:11" x14ac:dyDescent="0.2">
      <c r="A11" s="29"/>
      <c r="B11" s="201" t="s">
        <v>45</v>
      </c>
      <c r="C11" s="199"/>
      <c r="D11" s="200"/>
      <c r="E11" s="114"/>
      <c r="F11" s="120"/>
      <c r="G11" s="114"/>
      <c r="H11" s="115"/>
      <c r="I11" s="116"/>
      <c r="J11" s="197"/>
      <c r="K11" s="13"/>
    </row>
    <row r="12" spans="1:11" x14ac:dyDescent="0.2">
      <c r="A12" s="29"/>
      <c r="B12" s="201" t="s">
        <v>46</v>
      </c>
      <c r="C12" s="199" t="s">
        <v>56</v>
      </c>
      <c r="D12" s="200">
        <v>84661</v>
      </c>
      <c r="E12" s="120">
        <v>86155</v>
      </c>
      <c r="F12" s="120">
        <v>85800</v>
      </c>
      <c r="G12" s="120">
        <v>87930</v>
      </c>
      <c r="H12" s="115"/>
      <c r="I12" s="116"/>
      <c r="J12" s="197"/>
      <c r="K12" s="13"/>
    </row>
    <row r="13" spans="1:11" x14ac:dyDescent="0.2">
      <c r="A13" s="29"/>
      <c r="B13" s="201" t="s">
        <v>47</v>
      </c>
      <c r="C13" s="199" t="s">
        <v>56</v>
      </c>
      <c r="D13" s="200">
        <v>393769</v>
      </c>
      <c r="E13" s="120">
        <v>398300</v>
      </c>
      <c r="F13" s="120">
        <v>398185</v>
      </c>
      <c r="G13" s="120">
        <v>402042</v>
      </c>
      <c r="H13" s="115"/>
      <c r="I13" s="116"/>
      <c r="J13" s="202"/>
      <c r="K13" s="202"/>
    </row>
    <row r="14" spans="1:11" x14ac:dyDescent="0.2">
      <c r="A14" s="29">
        <v>2</v>
      </c>
      <c r="B14" s="203" t="s">
        <v>125</v>
      </c>
      <c r="C14" s="199" t="s">
        <v>139</v>
      </c>
      <c r="D14" s="200"/>
      <c r="E14" s="122">
        <v>67</v>
      </c>
      <c r="F14" s="122">
        <v>67.400000000000006</v>
      </c>
      <c r="G14" s="122">
        <v>67.599999999999994</v>
      </c>
      <c r="H14" s="115"/>
      <c r="I14" s="116"/>
      <c r="J14" s="202"/>
      <c r="K14" s="202"/>
    </row>
    <row r="15" spans="1:11" x14ac:dyDescent="0.2">
      <c r="A15" s="29"/>
      <c r="B15" s="201" t="s">
        <v>48</v>
      </c>
      <c r="C15" s="199"/>
      <c r="D15" s="200">
        <v>400972</v>
      </c>
      <c r="E15" s="120">
        <v>407952</v>
      </c>
      <c r="F15" s="120">
        <v>406029</v>
      </c>
      <c r="G15" s="120">
        <v>408401</v>
      </c>
      <c r="H15" s="115"/>
      <c r="I15" s="116"/>
      <c r="J15" s="202"/>
      <c r="K15" s="202"/>
    </row>
    <row r="16" spans="1:11" x14ac:dyDescent="0.2">
      <c r="A16" s="29">
        <v>3</v>
      </c>
      <c r="B16" s="201" t="s">
        <v>49</v>
      </c>
      <c r="C16" s="199" t="s">
        <v>57</v>
      </c>
      <c r="D16" s="29">
        <v>1.72</v>
      </c>
      <c r="E16" s="204">
        <v>1.46</v>
      </c>
      <c r="F16" s="204">
        <v>1.24</v>
      </c>
      <c r="G16" s="204">
        <v>1.1000000000000001</v>
      </c>
      <c r="H16" s="115"/>
      <c r="I16" s="116"/>
      <c r="J16" s="205"/>
      <c r="K16" s="205"/>
    </row>
    <row r="17" spans="1:11" x14ac:dyDescent="0.2">
      <c r="A17" s="29">
        <v>4</v>
      </c>
      <c r="B17" s="201" t="s">
        <v>50</v>
      </c>
      <c r="C17" s="199" t="s">
        <v>58</v>
      </c>
      <c r="D17" s="29">
        <v>1.61</v>
      </c>
      <c r="E17" s="204">
        <v>0.4</v>
      </c>
      <c r="F17" s="204">
        <v>0.77</v>
      </c>
      <c r="G17" s="204">
        <v>0.4</v>
      </c>
      <c r="H17" s="115"/>
      <c r="I17" s="116"/>
      <c r="J17" s="197"/>
      <c r="K17" s="13"/>
    </row>
    <row r="18" spans="1:11" x14ac:dyDescent="0.2">
      <c r="A18" s="29">
        <v>5</v>
      </c>
      <c r="B18" s="201" t="s">
        <v>51</v>
      </c>
      <c r="C18" s="199" t="s">
        <v>59</v>
      </c>
      <c r="D18" s="29">
        <v>13.6</v>
      </c>
      <c r="E18" s="204">
        <v>14.11</v>
      </c>
      <c r="F18" s="204">
        <v>13.72</v>
      </c>
      <c r="G18" s="204">
        <v>13.88</v>
      </c>
      <c r="H18" s="115"/>
      <c r="I18" s="116"/>
      <c r="J18" s="205"/>
      <c r="K18" s="205"/>
    </row>
    <row r="19" spans="1:11" ht="22.5" x14ac:dyDescent="0.2">
      <c r="A19" s="29">
        <v>6</v>
      </c>
      <c r="B19" s="201" t="s">
        <v>52</v>
      </c>
      <c r="C19" s="199" t="s">
        <v>57</v>
      </c>
      <c r="D19" s="29">
        <v>108.5</v>
      </c>
      <c r="E19" s="206">
        <v>109</v>
      </c>
      <c r="F19" s="242">
        <v>118.81</v>
      </c>
      <c r="G19" s="206">
        <v>109</v>
      </c>
      <c r="H19" s="115"/>
      <c r="I19" s="116"/>
      <c r="J19" s="207"/>
      <c r="K19" s="29"/>
    </row>
    <row r="20" spans="1:11" x14ac:dyDescent="0.2">
      <c r="A20" s="29"/>
      <c r="B20" s="208" t="s">
        <v>53</v>
      </c>
      <c r="C20" s="199"/>
      <c r="D20" s="29"/>
      <c r="E20" s="120"/>
      <c r="F20" s="120"/>
      <c r="G20" s="120"/>
      <c r="H20" s="115"/>
      <c r="I20" s="116"/>
      <c r="J20" s="205"/>
      <c r="K20" s="205"/>
    </row>
    <row r="21" spans="1:11" ht="22.5" x14ac:dyDescent="0.2">
      <c r="A21" s="29">
        <v>7</v>
      </c>
      <c r="B21" s="201" t="s">
        <v>54</v>
      </c>
      <c r="C21" s="199" t="s">
        <v>57</v>
      </c>
      <c r="D21" s="29">
        <v>69.8</v>
      </c>
      <c r="E21" s="209">
        <v>70</v>
      </c>
      <c r="F21" s="209">
        <v>69.52</v>
      </c>
      <c r="G21" s="209">
        <v>69.8</v>
      </c>
      <c r="H21" s="115"/>
      <c r="I21" s="116"/>
      <c r="J21" s="117"/>
      <c r="K21" s="29"/>
    </row>
    <row r="22" spans="1:11" ht="22.5" x14ac:dyDescent="0.2">
      <c r="A22" s="29">
        <v>8</v>
      </c>
      <c r="B22" s="201" t="s">
        <v>55</v>
      </c>
      <c r="C22" s="199" t="s">
        <v>57</v>
      </c>
      <c r="D22" s="29">
        <v>21.4</v>
      </c>
      <c r="E22" s="209">
        <v>15.4</v>
      </c>
      <c r="F22" s="243">
        <v>17.600000000000001</v>
      </c>
      <c r="G22" s="210">
        <v>15</v>
      </c>
      <c r="H22" s="115"/>
      <c r="I22" s="116"/>
      <c r="J22" s="117"/>
      <c r="K22" s="112"/>
    </row>
    <row r="23" spans="1:11" x14ac:dyDescent="0.2">
      <c r="A23" s="27" t="s">
        <v>6</v>
      </c>
      <c r="B23" s="28" t="s">
        <v>13</v>
      </c>
      <c r="C23" s="112"/>
      <c r="D23" s="113"/>
      <c r="E23" s="114"/>
      <c r="F23" s="113"/>
      <c r="G23" s="113"/>
      <c r="H23" s="115"/>
      <c r="I23" s="116"/>
      <c r="J23" s="117"/>
      <c r="K23" s="112"/>
    </row>
    <row r="24" spans="1:11" x14ac:dyDescent="0.2">
      <c r="A24" s="118" t="s">
        <v>11</v>
      </c>
      <c r="B24" s="211" t="s">
        <v>60</v>
      </c>
      <c r="C24" s="112"/>
      <c r="D24" s="113"/>
      <c r="E24" s="114"/>
      <c r="F24" s="113"/>
      <c r="G24" s="113"/>
      <c r="H24" s="115"/>
      <c r="I24" s="116"/>
      <c r="J24" s="117"/>
      <c r="K24" s="112"/>
    </row>
    <row r="25" spans="1:11" x14ac:dyDescent="0.2">
      <c r="A25" s="282">
        <v>1</v>
      </c>
      <c r="B25" s="213" t="s">
        <v>61</v>
      </c>
      <c r="C25" s="212" t="s">
        <v>62</v>
      </c>
      <c r="D25" s="114">
        <f t="shared" ref="D25" si="1">SUM(D26:D32)</f>
        <v>120</v>
      </c>
      <c r="E25" s="114">
        <f>SUM(E26:E32)</f>
        <v>120</v>
      </c>
      <c r="F25" s="114">
        <f t="shared" ref="F25" si="2">SUM(F26:F32)</f>
        <v>120</v>
      </c>
      <c r="G25" s="114">
        <f t="shared" ref="G25" si="3">SUM(G26:G32)</f>
        <v>120</v>
      </c>
      <c r="H25" s="115"/>
      <c r="I25" s="116"/>
      <c r="J25" s="117"/>
      <c r="K25" s="112"/>
    </row>
    <row r="26" spans="1:11" x14ac:dyDescent="0.2">
      <c r="A26" s="283"/>
      <c r="B26" s="215" t="s">
        <v>63</v>
      </c>
      <c r="C26" s="214" t="s">
        <v>64</v>
      </c>
      <c r="D26" s="120">
        <v>1</v>
      </c>
      <c r="E26" s="114">
        <v>1</v>
      </c>
      <c r="F26" s="114">
        <v>1</v>
      </c>
      <c r="G26" s="114">
        <v>1</v>
      </c>
      <c r="H26" s="115"/>
      <c r="I26" s="116"/>
      <c r="J26" s="117"/>
      <c r="K26" s="112"/>
    </row>
    <row r="27" spans="1:11" x14ac:dyDescent="0.2">
      <c r="A27" s="283"/>
      <c r="B27" s="215" t="s">
        <v>65</v>
      </c>
      <c r="C27" s="214" t="s">
        <v>64</v>
      </c>
      <c r="D27" s="120">
        <v>2</v>
      </c>
      <c r="E27" s="114">
        <v>2</v>
      </c>
      <c r="F27" s="114">
        <v>2</v>
      </c>
      <c r="G27" s="114">
        <v>2</v>
      </c>
      <c r="H27" s="115"/>
      <c r="I27" s="116"/>
      <c r="J27" s="117"/>
      <c r="K27" s="112"/>
    </row>
    <row r="28" spans="1:11" x14ac:dyDescent="0.2">
      <c r="A28" s="283"/>
      <c r="B28" s="216" t="s">
        <v>121</v>
      </c>
      <c r="C28" s="214" t="s">
        <v>66</v>
      </c>
      <c r="D28" s="120">
        <v>1</v>
      </c>
      <c r="E28" s="114">
        <v>1</v>
      </c>
      <c r="F28" s="114">
        <v>1</v>
      </c>
      <c r="G28" s="114">
        <v>1</v>
      </c>
      <c r="H28" s="115"/>
      <c r="I28" s="116"/>
      <c r="J28" s="117"/>
      <c r="K28" s="112"/>
    </row>
    <row r="29" spans="1:11" x14ac:dyDescent="0.2">
      <c r="A29" s="283"/>
      <c r="B29" s="215" t="s">
        <v>122</v>
      </c>
      <c r="C29" s="214" t="s">
        <v>66</v>
      </c>
      <c r="D29" s="120">
        <v>8</v>
      </c>
      <c r="E29" s="114">
        <v>8</v>
      </c>
      <c r="F29" s="114">
        <v>8</v>
      </c>
      <c r="G29" s="114">
        <v>8</v>
      </c>
      <c r="H29" s="115"/>
      <c r="I29" s="116"/>
      <c r="J29" s="117"/>
      <c r="K29" s="112"/>
    </row>
    <row r="30" spans="1:11" x14ac:dyDescent="0.2">
      <c r="A30" s="283"/>
      <c r="B30" s="216" t="s">
        <v>120</v>
      </c>
      <c r="C30" s="214" t="s">
        <v>66</v>
      </c>
      <c r="D30" s="120">
        <v>1</v>
      </c>
      <c r="E30" s="114">
        <v>1</v>
      </c>
      <c r="F30" s="114">
        <v>1</v>
      </c>
      <c r="G30" s="114">
        <v>1</v>
      </c>
      <c r="H30" s="115"/>
      <c r="I30" s="116"/>
      <c r="J30" s="117"/>
      <c r="K30" s="112"/>
    </row>
    <row r="31" spans="1:11" x14ac:dyDescent="0.2">
      <c r="A31" s="283"/>
      <c r="B31" s="217" t="s">
        <v>67</v>
      </c>
      <c r="C31" s="214" t="s">
        <v>68</v>
      </c>
      <c r="D31" s="120">
        <v>4</v>
      </c>
      <c r="E31" s="114">
        <v>4</v>
      </c>
      <c r="F31" s="114">
        <v>4</v>
      </c>
      <c r="G31" s="114">
        <v>4</v>
      </c>
      <c r="H31" s="115"/>
      <c r="I31" s="116"/>
      <c r="J31" s="117"/>
      <c r="K31" s="112"/>
    </row>
    <row r="32" spans="1:11" x14ac:dyDescent="0.2">
      <c r="A32" s="284"/>
      <c r="B32" s="217" t="s">
        <v>69</v>
      </c>
      <c r="C32" s="214" t="s">
        <v>70</v>
      </c>
      <c r="D32" s="120">
        <v>103</v>
      </c>
      <c r="E32" s="114">
        <v>103</v>
      </c>
      <c r="F32" s="114">
        <v>103</v>
      </c>
      <c r="G32" s="114">
        <v>103</v>
      </c>
      <c r="H32" s="115"/>
      <c r="I32" s="116"/>
      <c r="J32" s="117"/>
      <c r="K32" s="112"/>
    </row>
    <row r="33" spans="1:11" x14ac:dyDescent="0.2">
      <c r="A33" s="214">
        <v>2</v>
      </c>
      <c r="B33" s="217" t="s">
        <v>135</v>
      </c>
      <c r="C33" s="214"/>
      <c r="D33" s="122">
        <v>94.2</v>
      </c>
      <c r="E33" s="122">
        <v>94.2</v>
      </c>
      <c r="F33" s="122">
        <v>94.2</v>
      </c>
      <c r="G33" s="122">
        <v>94.2</v>
      </c>
      <c r="H33" s="115"/>
      <c r="I33" s="116"/>
      <c r="J33" s="117"/>
      <c r="K33" s="112"/>
    </row>
    <row r="34" spans="1:11" x14ac:dyDescent="0.2">
      <c r="A34" s="212">
        <v>3</v>
      </c>
      <c r="B34" s="213" t="s">
        <v>71</v>
      </c>
      <c r="C34" s="212" t="s">
        <v>62</v>
      </c>
      <c r="D34" s="120">
        <v>2</v>
      </c>
      <c r="E34" s="114">
        <v>2</v>
      </c>
      <c r="F34" s="114">
        <v>2</v>
      </c>
      <c r="G34" s="114">
        <v>2</v>
      </c>
      <c r="H34" s="115"/>
      <c r="I34" s="116"/>
      <c r="J34" s="117"/>
      <c r="K34" s="112"/>
    </row>
    <row r="35" spans="1:11" x14ac:dyDescent="0.2">
      <c r="A35" s="282">
        <v>4</v>
      </c>
      <c r="B35" s="218" t="s">
        <v>72</v>
      </c>
      <c r="C35" s="212" t="s">
        <v>73</v>
      </c>
      <c r="D35" s="114">
        <f t="shared" ref="D35" si="4">D36+D37</f>
        <v>1590</v>
      </c>
      <c r="E35" s="114">
        <f>E36+E37</f>
        <v>1590</v>
      </c>
      <c r="F35" s="114">
        <f t="shared" ref="F35" si="5">F36+F37</f>
        <v>1590</v>
      </c>
      <c r="G35" s="114">
        <f t="shared" ref="G35" si="6">G36+G37</f>
        <v>1590</v>
      </c>
      <c r="H35" s="115"/>
      <c r="I35" s="116"/>
      <c r="J35" s="117"/>
      <c r="K35" s="112"/>
    </row>
    <row r="36" spans="1:11" x14ac:dyDescent="0.2">
      <c r="A36" s="283"/>
      <c r="B36" s="218" t="s">
        <v>74</v>
      </c>
      <c r="C36" s="212" t="s">
        <v>73</v>
      </c>
      <c r="D36" s="114">
        <v>670</v>
      </c>
      <c r="E36" s="114">
        <v>670</v>
      </c>
      <c r="F36" s="114">
        <v>670</v>
      </c>
      <c r="G36" s="114">
        <v>670</v>
      </c>
      <c r="H36" s="115"/>
      <c r="I36" s="116"/>
      <c r="J36" s="117"/>
      <c r="K36" s="112"/>
    </row>
    <row r="37" spans="1:11" x14ac:dyDescent="0.2">
      <c r="A37" s="283"/>
      <c r="B37" s="218" t="s">
        <v>75</v>
      </c>
      <c r="C37" s="212" t="s">
        <v>73</v>
      </c>
      <c r="D37" s="120">
        <v>920</v>
      </c>
      <c r="E37" s="114">
        <f>E38+E39</f>
        <v>920</v>
      </c>
      <c r="F37" s="114">
        <v>920</v>
      </c>
      <c r="G37" s="114">
        <v>920</v>
      </c>
      <c r="H37" s="115"/>
      <c r="I37" s="116"/>
      <c r="J37" s="117"/>
      <c r="K37" s="112"/>
    </row>
    <row r="38" spans="1:11" x14ac:dyDescent="0.2">
      <c r="A38" s="283"/>
      <c r="B38" s="215" t="s">
        <v>76</v>
      </c>
      <c r="C38" s="212" t="s">
        <v>73</v>
      </c>
      <c r="D38" s="120">
        <v>860</v>
      </c>
      <c r="E38" s="114">
        <v>860</v>
      </c>
      <c r="F38" s="114">
        <v>860</v>
      </c>
      <c r="G38" s="114">
        <v>860</v>
      </c>
      <c r="H38" s="115"/>
      <c r="I38" s="116"/>
      <c r="J38" s="117"/>
      <c r="K38" s="112"/>
    </row>
    <row r="39" spans="1:11" x14ac:dyDescent="0.2">
      <c r="A39" s="284"/>
      <c r="B39" s="219" t="s">
        <v>119</v>
      </c>
      <c r="C39" s="214" t="s">
        <v>73</v>
      </c>
      <c r="D39" s="120">
        <v>60</v>
      </c>
      <c r="E39" s="114">
        <v>60</v>
      </c>
      <c r="F39" s="114">
        <v>60</v>
      </c>
      <c r="G39" s="114">
        <v>60</v>
      </c>
      <c r="H39" s="115"/>
      <c r="I39" s="116"/>
      <c r="J39" s="117"/>
      <c r="K39" s="112"/>
    </row>
    <row r="40" spans="1:11" ht="28.5" customHeight="1" x14ac:dyDescent="0.2">
      <c r="A40" s="282">
        <v>5</v>
      </c>
      <c r="B40" s="213" t="s">
        <v>77</v>
      </c>
      <c r="C40" s="212" t="s">
        <v>73</v>
      </c>
      <c r="D40" s="122">
        <f t="shared" ref="D40:G40" si="7">D35/D10*10000</f>
        <v>33.233701899964466</v>
      </c>
      <c r="E40" s="122">
        <f t="shared" si="7"/>
        <v>32.820385794346222</v>
      </c>
      <c r="F40" s="122">
        <f t="shared" si="7"/>
        <v>32.852257817907578</v>
      </c>
      <c r="G40" s="122">
        <f t="shared" si="7"/>
        <v>32.450833925203888</v>
      </c>
      <c r="H40" s="115"/>
      <c r="I40" s="116"/>
      <c r="J40" s="117"/>
      <c r="K40" s="112"/>
    </row>
    <row r="41" spans="1:11" ht="22.5" x14ac:dyDescent="0.2">
      <c r="A41" s="284"/>
      <c r="B41" s="220" t="s">
        <v>78</v>
      </c>
      <c r="C41" s="214" t="s">
        <v>79</v>
      </c>
      <c r="D41" s="122">
        <f t="shared" ref="D41:G41" si="8">D35/D10*10000</f>
        <v>33.233701899964466</v>
      </c>
      <c r="E41" s="122">
        <f t="shared" si="8"/>
        <v>32.820385794346222</v>
      </c>
      <c r="F41" s="122">
        <f t="shared" si="8"/>
        <v>32.852257817907578</v>
      </c>
      <c r="G41" s="122">
        <f t="shared" si="8"/>
        <v>32.450833925203888</v>
      </c>
      <c r="H41" s="115"/>
      <c r="I41" s="116"/>
      <c r="J41" s="117"/>
      <c r="K41" s="112"/>
    </row>
    <row r="42" spans="1:11" x14ac:dyDescent="0.2">
      <c r="A42" s="118" t="s">
        <v>80</v>
      </c>
      <c r="B42" s="119" t="s">
        <v>81</v>
      </c>
      <c r="C42" s="118"/>
      <c r="D42" s="29"/>
      <c r="E42" s="114"/>
      <c r="F42" s="113"/>
      <c r="G42" s="113"/>
      <c r="H42" s="115"/>
      <c r="I42" s="116"/>
      <c r="J42" s="117"/>
      <c r="K42" s="112"/>
    </row>
    <row r="43" spans="1:11" x14ac:dyDescent="0.2">
      <c r="A43" s="212">
        <v>1</v>
      </c>
      <c r="B43" s="213" t="s">
        <v>82</v>
      </c>
      <c r="C43" s="212" t="s">
        <v>56</v>
      </c>
      <c r="D43" s="120">
        <v>2083</v>
      </c>
      <c r="E43" s="114">
        <v>2935</v>
      </c>
      <c r="F43" s="114">
        <v>2935</v>
      </c>
      <c r="G43" s="114">
        <v>2935</v>
      </c>
      <c r="H43" s="115"/>
      <c r="I43" s="116"/>
      <c r="J43" s="117"/>
      <c r="K43" s="112"/>
    </row>
    <row r="44" spans="1:11" x14ac:dyDescent="0.2">
      <c r="A44" s="212"/>
      <c r="B44" s="213" t="s">
        <v>83</v>
      </c>
      <c r="C44" s="212"/>
      <c r="D44" s="120"/>
      <c r="E44" s="114"/>
      <c r="F44" s="114"/>
      <c r="G44" s="114"/>
      <c r="H44" s="115"/>
      <c r="I44" s="116"/>
      <c r="J44" s="117"/>
      <c r="K44" s="112"/>
    </row>
    <row r="45" spans="1:11" ht="15.75" customHeight="1" x14ac:dyDescent="0.2">
      <c r="A45" s="212" t="s">
        <v>84</v>
      </c>
      <c r="B45" s="213" t="s">
        <v>85</v>
      </c>
      <c r="C45" s="212" t="s">
        <v>56</v>
      </c>
      <c r="D45" s="120">
        <v>518</v>
      </c>
      <c r="E45" s="114">
        <v>597</v>
      </c>
      <c r="F45" s="114">
        <v>590</v>
      </c>
      <c r="G45" s="114">
        <v>638</v>
      </c>
      <c r="H45" s="238"/>
      <c r="I45" s="238"/>
      <c r="J45" s="238"/>
      <c r="K45" s="238"/>
    </row>
    <row r="46" spans="1:11" ht="21.75" customHeight="1" x14ac:dyDescent="0.2">
      <c r="A46" s="214"/>
      <c r="B46" s="217" t="s">
        <v>86</v>
      </c>
      <c r="C46" s="221" t="s">
        <v>87</v>
      </c>
      <c r="D46" s="122">
        <f t="shared" ref="D46:G46" si="9">D45/D10*10000</f>
        <v>10.827080241623642</v>
      </c>
      <c r="E46" s="122">
        <f t="shared" si="9"/>
        <v>12.323125986933771</v>
      </c>
      <c r="F46" s="209">
        <f t="shared" si="9"/>
        <v>12.190460448154386</v>
      </c>
      <c r="G46" s="209">
        <f t="shared" si="9"/>
        <v>13.021152229106971</v>
      </c>
      <c r="H46" s="238"/>
      <c r="I46" s="238"/>
      <c r="J46" s="238"/>
      <c r="K46" s="238"/>
    </row>
    <row r="47" spans="1:11" ht="18" customHeight="1" x14ac:dyDescent="0.2">
      <c r="A47" s="212" t="s">
        <v>88</v>
      </c>
      <c r="B47" s="213" t="s">
        <v>89</v>
      </c>
      <c r="C47" s="212" t="s">
        <v>56</v>
      </c>
      <c r="D47" s="120">
        <v>103</v>
      </c>
      <c r="E47" s="114">
        <v>112</v>
      </c>
      <c r="F47" s="114">
        <v>108</v>
      </c>
      <c r="G47" s="120">
        <v>111</v>
      </c>
      <c r="H47" s="115"/>
      <c r="I47" s="116"/>
      <c r="J47" s="117"/>
      <c r="K47" s="112"/>
    </row>
    <row r="48" spans="1:11" x14ac:dyDescent="0.2">
      <c r="A48" s="214"/>
      <c r="B48" s="217" t="s">
        <v>90</v>
      </c>
      <c r="C48" s="214" t="s">
        <v>87</v>
      </c>
      <c r="D48" s="122">
        <f t="shared" ref="D48:G48" si="10">D47/D10*10000</f>
        <v>2.1528750287398366</v>
      </c>
      <c r="E48" s="122">
        <f t="shared" si="10"/>
        <v>2.3118762320545767</v>
      </c>
      <c r="F48" s="122">
        <f t="shared" si="10"/>
        <v>2.2314741159333451</v>
      </c>
      <c r="G48" s="122">
        <f t="shared" si="10"/>
        <v>2.2654355759104603</v>
      </c>
      <c r="H48" s="115"/>
      <c r="I48" s="116"/>
      <c r="J48" s="117"/>
      <c r="K48" s="112"/>
    </row>
    <row r="49" spans="1:11" ht="22.5" x14ac:dyDescent="0.2">
      <c r="A49" s="212">
        <v>2</v>
      </c>
      <c r="B49" s="213" t="s">
        <v>91</v>
      </c>
      <c r="C49" s="212" t="s">
        <v>57</v>
      </c>
      <c r="D49" s="122">
        <f>28/106*100</f>
        <v>26.415094339622641</v>
      </c>
      <c r="E49" s="122">
        <v>25.47</v>
      </c>
      <c r="F49" s="122">
        <f>28/106*100</f>
        <v>26.415094339622641</v>
      </c>
      <c r="G49" s="122">
        <f>38/106*100</f>
        <v>35.849056603773583</v>
      </c>
      <c r="H49" s="115"/>
      <c r="I49" s="116"/>
      <c r="J49" s="117"/>
      <c r="K49" s="112"/>
    </row>
    <row r="50" spans="1:11" ht="41.25" customHeight="1" x14ac:dyDescent="0.2">
      <c r="A50" s="233">
        <v>3</v>
      </c>
      <c r="B50" s="213" t="s">
        <v>92</v>
      </c>
      <c r="C50" s="212" t="s">
        <v>57</v>
      </c>
      <c r="D50" s="222">
        <f>865/915*100</f>
        <v>94.535519125683066</v>
      </c>
      <c r="E50" s="122">
        <v>97.38</v>
      </c>
      <c r="F50" s="241">
        <f t="shared" ref="F50" si="11">864/915*100</f>
        <v>94.426229508196727</v>
      </c>
      <c r="G50" s="122">
        <f>895/957*100</f>
        <v>93.521421107628001</v>
      </c>
      <c r="H50" s="281" t="s">
        <v>140</v>
      </c>
      <c r="I50" s="281"/>
      <c r="J50" s="281"/>
      <c r="K50" s="281"/>
    </row>
    <row r="51" spans="1:11" x14ac:dyDescent="0.2">
      <c r="A51" s="118" t="s">
        <v>93</v>
      </c>
      <c r="B51" s="119" t="s">
        <v>94</v>
      </c>
      <c r="C51" s="121"/>
      <c r="D51" s="113"/>
      <c r="E51" s="114"/>
      <c r="F51" s="122"/>
      <c r="G51" s="122"/>
      <c r="H51" s="115"/>
      <c r="I51" s="116"/>
      <c r="J51" s="117"/>
      <c r="K51" s="112"/>
    </row>
    <row r="52" spans="1:11" x14ac:dyDescent="0.2">
      <c r="A52" s="282">
        <v>1</v>
      </c>
      <c r="B52" s="213" t="s">
        <v>95</v>
      </c>
      <c r="C52" s="212" t="s">
        <v>96</v>
      </c>
      <c r="D52" s="223">
        <v>91</v>
      </c>
      <c r="E52" s="114">
        <v>94</v>
      </c>
      <c r="F52" s="120">
        <f>E52</f>
        <v>94</v>
      </c>
      <c r="G52" s="120">
        <v>95</v>
      </c>
      <c r="H52" s="115"/>
      <c r="I52" s="116"/>
      <c r="J52" s="117"/>
      <c r="K52" s="112"/>
    </row>
    <row r="53" spans="1:11" ht="22.5" x14ac:dyDescent="0.2">
      <c r="A53" s="283"/>
      <c r="B53" s="217" t="s">
        <v>97</v>
      </c>
      <c r="C53" s="212" t="s">
        <v>96</v>
      </c>
      <c r="D53" s="223">
        <v>2</v>
      </c>
      <c r="E53" s="114">
        <v>3</v>
      </c>
      <c r="F53" s="120">
        <f>E53</f>
        <v>3</v>
      </c>
      <c r="G53" s="120">
        <v>1</v>
      </c>
      <c r="H53" s="115"/>
      <c r="I53" s="116"/>
      <c r="J53" s="117"/>
      <c r="K53" s="112"/>
    </row>
    <row r="54" spans="1:11" x14ac:dyDescent="0.2">
      <c r="A54" s="284"/>
      <c r="B54" s="217" t="s">
        <v>98</v>
      </c>
      <c r="C54" s="214" t="s">
        <v>57</v>
      </c>
      <c r="D54" s="224">
        <v>85.85</v>
      </c>
      <c r="E54" s="122">
        <f>E52/106*100</f>
        <v>88.679245283018872</v>
      </c>
      <c r="F54" s="122">
        <f t="shared" ref="F54" si="12">F52/106*100</f>
        <v>88.679245283018872</v>
      </c>
      <c r="G54" s="122">
        <f>95/106*100</f>
        <v>89.622641509433961</v>
      </c>
      <c r="H54" s="115"/>
      <c r="I54" s="116"/>
      <c r="J54" s="117"/>
      <c r="K54" s="112"/>
    </row>
    <row r="55" spans="1:11" ht="54.75" customHeight="1" x14ac:dyDescent="0.2">
      <c r="A55" s="233">
        <v>2</v>
      </c>
      <c r="B55" s="213" t="s">
        <v>99</v>
      </c>
      <c r="C55" s="212" t="s">
        <v>100</v>
      </c>
      <c r="D55" s="225">
        <v>38.57</v>
      </c>
      <c r="E55" s="114">
        <v>29.37</v>
      </c>
      <c r="F55" s="122">
        <v>25.28</v>
      </c>
      <c r="G55" s="122">
        <v>28.9</v>
      </c>
      <c r="H55" s="115"/>
      <c r="I55" s="116"/>
      <c r="J55" s="117"/>
      <c r="K55" s="112"/>
    </row>
    <row r="56" spans="1:11" ht="22.5" x14ac:dyDescent="0.2">
      <c r="A56" s="212">
        <v>3</v>
      </c>
      <c r="B56" s="213" t="s">
        <v>101</v>
      </c>
      <c r="C56" s="212" t="s">
        <v>100</v>
      </c>
      <c r="D56" s="225">
        <v>36.35</v>
      </c>
      <c r="E56" s="114">
        <v>42</v>
      </c>
      <c r="F56" s="122">
        <v>32.43</v>
      </c>
      <c r="G56" s="122">
        <v>41.7</v>
      </c>
      <c r="H56" s="115"/>
      <c r="I56" s="116"/>
      <c r="J56" s="117"/>
      <c r="K56" s="112"/>
    </row>
    <row r="57" spans="1:11" ht="22.5" x14ac:dyDescent="0.2">
      <c r="A57" s="282">
        <v>4</v>
      </c>
      <c r="B57" s="213" t="s">
        <v>102</v>
      </c>
      <c r="C57" s="212" t="s">
        <v>103</v>
      </c>
      <c r="D57" s="226">
        <v>18.71</v>
      </c>
      <c r="E57" s="114">
        <v>17.8</v>
      </c>
      <c r="F57" s="122">
        <f>E57</f>
        <v>17.8</v>
      </c>
      <c r="G57" s="122">
        <v>16.7</v>
      </c>
      <c r="H57" s="115"/>
      <c r="I57" s="116"/>
      <c r="J57" s="117"/>
      <c r="K57" s="112"/>
    </row>
    <row r="58" spans="1:11" ht="22.5" x14ac:dyDescent="0.2">
      <c r="A58" s="284"/>
      <c r="B58" s="213" t="s">
        <v>141</v>
      </c>
      <c r="C58" s="212" t="s">
        <v>103</v>
      </c>
      <c r="D58" s="226">
        <v>25.86</v>
      </c>
      <c r="E58" s="114">
        <v>24.52</v>
      </c>
      <c r="F58" s="122">
        <v>24.15</v>
      </c>
      <c r="G58" s="122">
        <v>22.98</v>
      </c>
      <c r="H58" s="115"/>
      <c r="I58" s="116"/>
      <c r="J58" s="117"/>
      <c r="K58" s="112"/>
    </row>
    <row r="59" spans="1:11" ht="36" customHeight="1" x14ac:dyDescent="0.2">
      <c r="A59" s="212">
        <v>5</v>
      </c>
      <c r="B59" s="213" t="s">
        <v>104</v>
      </c>
      <c r="C59" s="212" t="s">
        <v>105</v>
      </c>
      <c r="D59" s="227">
        <v>104.52</v>
      </c>
      <c r="E59" s="114">
        <v>73.5</v>
      </c>
      <c r="F59" s="122">
        <v>41.22</v>
      </c>
      <c r="G59" s="122">
        <v>73</v>
      </c>
      <c r="H59" s="115"/>
      <c r="I59" s="116"/>
      <c r="J59" s="117"/>
      <c r="K59" s="112"/>
    </row>
    <row r="60" spans="1:11" ht="29.25" customHeight="1" x14ac:dyDescent="0.2">
      <c r="A60" s="212">
        <v>6</v>
      </c>
      <c r="B60" s="213" t="s">
        <v>106</v>
      </c>
      <c r="C60" s="212" t="s">
        <v>57</v>
      </c>
      <c r="D60" s="228">
        <v>94.33</v>
      </c>
      <c r="E60" s="114">
        <v>94.4</v>
      </c>
      <c r="F60" s="239">
        <v>86.27</v>
      </c>
      <c r="G60" s="122">
        <v>94.6</v>
      </c>
      <c r="H60" s="285" t="s">
        <v>146</v>
      </c>
      <c r="I60" s="286"/>
      <c r="J60" s="286"/>
      <c r="K60" s="287"/>
    </row>
    <row r="61" spans="1:11" x14ac:dyDescent="0.2">
      <c r="A61" s="212">
        <v>7</v>
      </c>
      <c r="B61" s="213" t="s">
        <v>107</v>
      </c>
      <c r="C61" s="212" t="s">
        <v>57</v>
      </c>
      <c r="D61" s="229">
        <v>67.39</v>
      </c>
      <c r="E61" s="114">
        <v>66.599999999999994</v>
      </c>
      <c r="F61" s="122">
        <v>67.989999999999995</v>
      </c>
      <c r="G61" s="122">
        <v>71</v>
      </c>
      <c r="H61" s="115"/>
      <c r="I61" s="116"/>
      <c r="J61" s="117"/>
      <c r="K61" s="112"/>
    </row>
    <row r="62" spans="1:11" x14ac:dyDescent="0.2">
      <c r="A62" s="212">
        <v>8</v>
      </c>
      <c r="B62" s="213" t="s">
        <v>108</v>
      </c>
      <c r="C62" s="212" t="s">
        <v>57</v>
      </c>
      <c r="D62" s="229">
        <v>78.3</v>
      </c>
      <c r="E62" s="114">
        <v>71.430000000000007</v>
      </c>
      <c r="F62" s="122">
        <v>78.989999999999995</v>
      </c>
      <c r="G62" s="122">
        <v>75.2</v>
      </c>
      <c r="H62" s="115"/>
      <c r="I62" s="116"/>
      <c r="J62" s="117"/>
      <c r="K62" s="112"/>
    </row>
    <row r="63" spans="1:11" x14ac:dyDescent="0.2">
      <c r="A63" s="282">
        <v>9</v>
      </c>
      <c r="B63" s="213" t="s">
        <v>109</v>
      </c>
      <c r="C63" s="212"/>
      <c r="D63" s="227"/>
      <c r="E63" s="114"/>
      <c r="F63" s="122">
        <f t="shared" ref="F63" si="13">E63</f>
        <v>0</v>
      </c>
      <c r="G63" s="122"/>
      <c r="H63" s="115"/>
      <c r="I63" s="116"/>
      <c r="J63" s="117"/>
      <c r="K63" s="112"/>
    </row>
    <row r="64" spans="1:11" x14ac:dyDescent="0.2">
      <c r="A64" s="283"/>
      <c r="B64" s="231" t="s">
        <v>110</v>
      </c>
      <c r="C64" s="230" t="s">
        <v>59</v>
      </c>
      <c r="D64" s="232">
        <v>0.21</v>
      </c>
      <c r="E64" s="114">
        <v>1.57</v>
      </c>
      <c r="F64" s="122">
        <v>0.21</v>
      </c>
      <c r="G64" s="122">
        <v>1.07</v>
      </c>
      <c r="H64" s="115"/>
      <c r="I64" s="116"/>
      <c r="J64" s="117"/>
      <c r="K64" s="112"/>
    </row>
    <row r="65" spans="1:11" ht="36" customHeight="1" x14ac:dyDescent="0.2">
      <c r="A65" s="283"/>
      <c r="B65" s="217" t="s">
        <v>111</v>
      </c>
      <c r="C65" s="214" t="s">
        <v>112</v>
      </c>
      <c r="D65" s="232">
        <v>24.66</v>
      </c>
      <c r="E65" s="114">
        <v>30.82</v>
      </c>
      <c r="F65" s="240">
        <f>202/F10*100000</f>
        <v>41.736830686901449</v>
      </c>
      <c r="G65" s="122">
        <v>30.03</v>
      </c>
      <c r="H65" s="285" t="s">
        <v>147</v>
      </c>
      <c r="I65" s="286"/>
      <c r="J65" s="286"/>
      <c r="K65" s="287"/>
    </row>
    <row r="66" spans="1:11" x14ac:dyDescent="0.2">
      <c r="A66" s="284"/>
      <c r="B66" s="217" t="s">
        <v>113</v>
      </c>
      <c r="C66" s="214" t="s">
        <v>57</v>
      </c>
      <c r="D66" s="232">
        <v>0.36</v>
      </c>
      <c r="E66" s="114">
        <v>0.36</v>
      </c>
      <c r="F66" s="122">
        <f>1656/F10*100</f>
        <v>0.3421593644431129</v>
      </c>
      <c r="G66" s="122">
        <v>0.34</v>
      </c>
      <c r="H66" s="115"/>
      <c r="I66" s="116"/>
      <c r="J66" s="117"/>
      <c r="K66" s="112"/>
    </row>
    <row r="67" spans="1:11" x14ac:dyDescent="0.2">
      <c r="A67" s="212">
        <v>10</v>
      </c>
      <c r="B67" s="213" t="s">
        <v>114</v>
      </c>
      <c r="C67" s="199" t="s">
        <v>57</v>
      </c>
      <c r="D67" s="223">
        <v>82.1</v>
      </c>
      <c r="E67" s="114">
        <v>85</v>
      </c>
      <c r="F67" s="244">
        <v>85.05</v>
      </c>
      <c r="G67" s="122">
        <v>96.1</v>
      </c>
      <c r="H67" s="115"/>
      <c r="I67" s="116"/>
      <c r="J67" s="117"/>
      <c r="K67" s="112"/>
    </row>
    <row r="68" spans="1:11" ht="42.75" customHeight="1" x14ac:dyDescent="0.2">
      <c r="A68" s="233">
        <v>11</v>
      </c>
      <c r="B68" s="213" t="s">
        <v>127</v>
      </c>
      <c r="C68" s="199"/>
      <c r="D68" s="234">
        <v>30</v>
      </c>
      <c r="E68" s="114">
        <v>40</v>
      </c>
      <c r="F68" s="122">
        <f>E68</f>
        <v>40</v>
      </c>
      <c r="G68" s="122">
        <v>50</v>
      </c>
      <c r="H68" s="115"/>
      <c r="I68" s="116"/>
      <c r="J68" s="117"/>
      <c r="K68" s="112"/>
    </row>
    <row r="69" spans="1:11" ht="22.5" x14ac:dyDescent="0.2">
      <c r="A69" s="233">
        <v>12</v>
      </c>
      <c r="B69" s="213" t="s">
        <v>128</v>
      </c>
      <c r="C69" s="199"/>
      <c r="D69" s="234">
        <v>88.78</v>
      </c>
      <c r="E69" s="114">
        <v>88.13</v>
      </c>
      <c r="F69" s="122">
        <f>E69</f>
        <v>88.13</v>
      </c>
      <c r="G69" s="122">
        <v>90</v>
      </c>
      <c r="H69" s="115"/>
      <c r="I69" s="116"/>
      <c r="J69" s="117"/>
      <c r="K69" s="112"/>
    </row>
    <row r="70" spans="1:11" ht="22.5" x14ac:dyDescent="0.25">
      <c r="A70" s="235">
        <v>13</v>
      </c>
      <c r="B70" s="213" t="s">
        <v>115</v>
      </c>
      <c r="C70" s="212" t="s">
        <v>116</v>
      </c>
      <c r="D70" s="236">
        <v>2167</v>
      </c>
      <c r="E70" s="236">
        <v>2025</v>
      </c>
      <c r="F70" s="236">
        <f>E70</f>
        <v>2025</v>
      </c>
      <c r="G70" s="236">
        <v>2068</v>
      </c>
      <c r="H70" s="237"/>
      <c r="I70" s="237"/>
      <c r="J70" s="237"/>
      <c r="K70" s="237"/>
    </row>
    <row r="71" spans="1:11" ht="15.75" customHeight="1" x14ac:dyDescent="0.2">
      <c r="A71" s="278" t="s">
        <v>16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 x14ac:dyDescent="0.2">
      <c r="A72" s="279"/>
      <c r="B72" s="279"/>
      <c r="C72" s="279"/>
      <c r="D72" s="279"/>
      <c r="E72" s="279"/>
      <c r="F72" s="279"/>
      <c r="G72" s="279"/>
      <c r="H72" s="279"/>
      <c r="I72" s="279"/>
      <c r="J72" s="279"/>
      <c r="K72" s="279"/>
    </row>
  </sheetData>
  <mergeCells count="22">
    <mergeCell ref="A71:K72"/>
    <mergeCell ref="K5:K6"/>
    <mergeCell ref="H50:K50"/>
    <mergeCell ref="A63:A66"/>
    <mergeCell ref="A57:A58"/>
    <mergeCell ref="A52:A54"/>
    <mergeCell ref="A35:A39"/>
    <mergeCell ref="A40:A41"/>
    <mergeCell ref="A25:A32"/>
    <mergeCell ref="H60:K60"/>
    <mergeCell ref="H65:K65"/>
    <mergeCell ref="A1:B1"/>
    <mergeCell ref="A2:K2"/>
    <mergeCell ref="A3:K3"/>
    <mergeCell ref="A5:A6"/>
    <mergeCell ref="B5:B6"/>
    <mergeCell ref="C5:C6"/>
    <mergeCell ref="D5:D6"/>
    <mergeCell ref="E5:F5"/>
    <mergeCell ref="H5:I5"/>
    <mergeCell ref="J5:J6"/>
    <mergeCell ref="G5:G6"/>
  </mergeCells>
  <pageMargins left="0.7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Báo cáo tháng</vt:lpstr>
      <vt:lpstr>Báo cáo năm 2022</vt:lpstr>
      <vt:lpstr>'Báo cáo tháng'!Print_Titles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2023-01-11T00:53:42Z</cp:lastPrinted>
  <dcterms:created xsi:type="dcterms:W3CDTF">2019-10-15T04:15:12Z</dcterms:created>
  <dcterms:modified xsi:type="dcterms:W3CDTF">2023-01-11T00:53:53Z</dcterms:modified>
</cp:coreProperties>
</file>