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580" windowHeight="9480" firstSheet="5" activeTab="8"/>
  </bookViews>
  <sheets>
    <sheet name="Báo cáo tháng" sheetId="5" state="hidden" r:id="rId1"/>
    <sheet name="Báo cáo 3 tháng " sheetId="2" state="hidden" r:id="rId2"/>
    <sheet name="Báo cáo năm" sheetId="3" state="hidden" r:id="rId3"/>
    <sheet name="Báo cáo chính thức" sheetId="4" state="hidden" r:id="rId4"/>
    <sheet name="Báo cáo 6 tháng" sheetId="6" state="hidden" r:id="rId5"/>
    <sheet name="Báo cáo 6 tháng " sheetId="7" r:id="rId6"/>
    <sheet name="Biểu tổng SKHĐT " sheetId="8" state="hidden" r:id="rId7"/>
    <sheet name="Biểu chi tiết SKHĐT" sheetId="9" state="hidden" r:id="rId8"/>
    <sheet name="Khám chữa bệnh Chung" sheetId="10" r:id="rId9"/>
    <sheet name="Khám chữa bệnh người nghèo" sheetId="11" r:id="rId10"/>
    <sheet name="Khám chữa bệnh trẻ em" sheetId="12" r:id="rId11"/>
  </sheets>
  <definedNames>
    <definedName name="_xlnm.Print_Titles" localSheetId="1">'Báo cáo 3 tháng '!$5:$6</definedName>
    <definedName name="_xlnm.Print_Titles" localSheetId="0">'Báo cáo tháng'!$5:$6</definedName>
  </definedNames>
  <calcPr calcId="124519"/>
</workbook>
</file>

<file path=xl/calcChain.xml><?xml version="1.0" encoding="utf-8"?>
<calcChain xmlns="http://schemas.openxmlformats.org/spreadsheetml/2006/main">
  <c r="BD7" i="10"/>
  <c r="J69" i="7"/>
  <c r="J71"/>
  <c r="J73"/>
  <c r="J74"/>
  <c r="J76"/>
  <c r="J68"/>
  <c r="I69"/>
  <c r="I70"/>
  <c r="I71"/>
  <c r="I73"/>
  <c r="I74"/>
  <c r="I75"/>
  <c r="I76"/>
  <c r="I68"/>
  <c r="J59"/>
  <c r="J60"/>
  <c r="J62"/>
  <c r="J63"/>
  <c r="J64"/>
  <c r="J65"/>
  <c r="J58"/>
  <c r="I59"/>
  <c r="I60"/>
  <c r="I62"/>
  <c r="I63"/>
  <c r="I64"/>
  <c r="I65"/>
  <c r="I58"/>
  <c r="J55"/>
  <c r="J56"/>
  <c r="J57"/>
  <c r="J54"/>
  <c r="I55"/>
  <c r="I56"/>
  <c r="I57"/>
  <c r="I54"/>
  <c r="J52"/>
  <c r="J53"/>
  <c r="J51"/>
  <c r="I52"/>
  <c r="I53"/>
  <c r="I51"/>
  <c r="I44"/>
  <c r="I45"/>
  <c r="I46"/>
  <c r="I47"/>
  <c r="I48"/>
  <c r="I49"/>
  <c r="I42"/>
  <c r="J44"/>
  <c r="J45"/>
  <c r="J46"/>
  <c r="J47"/>
  <c r="J48"/>
  <c r="J49"/>
  <c r="J42"/>
  <c r="J26"/>
  <c r="J27"/>
  <c r="J28"/>
  <c r="J29"/>
  <c r="J30"/>
  <c r="J31"/>
  <c r="J32"/>
  <c r="J33"/>
  <c r="J34"/>
  <c r="J35"/>
  <c r="J36"/>
  <c r="J37"/>
  <c r="J38"/>
  <c r="J39"/>
  <c r="J40"/>
  <c r="J25"/>
  <c r="I26"/>
  <c r="I27"/>
  <c r="I28"/>
  <c r="I29"/>
  <c r="I30"/>
  <c r="I31"/>
  <c r="I32"/>
  <c r="I33"/>
  <c r="I34"/>
  <c r="I35"/>
  <c r="I36"/>
  <c r="I37"/>
  <c r="I38"/>
  <c r="I39"/>
  <c r="I40"/>
  <c r="I25"/>
  <c r="J13"/>
  <c r="J14"/>
  <c r="J15"/>
  <c r="J16"/>
  <c r="J17"/>
  <c r="J18"/>
  <c r="J19"/>
  <c r="J21"/>
  <c r="J22"/>
  <c r="J11"/>
  <c r="I13"/>
  <c r="I14"/>
  <c r="I15"/>
  <c r="I16"/>
  <c r="I17"/>
  <c r="I18"/>
  <c r="I19"/>
  <c r="I21"/>
  <c r="I22"/>
  <c r="I11"/>
  <c r="H11" l="1"/>
  <c r="G11"/>
  <c r="G45"/>
  <c r="O31" i="12"/>
  <c r="S30"/>
  <c r="O30"/>
  <c r="AK21"/>
  <c r="AL21" s="1"/>
  <c r="U21"/>
  <c r="V21" s="1"/>
  <c r="E21"/>
  <c r="F21" s="1"/>
  <c r="AK20"/>
  <c r="AL20" s="1"/>
  <c r="U20"/>
  <c r="V20" s="1"/>
  <c r="E20"/>
  <c r="F20" s="1"/>
  <c r="AK19"/>
  <c r="AL19" s="1"/>
  <c r="U19"/>
  <c r="V19" s="1"/>
  <c r="E19"/>
  <c r="F19" s="1"/>
  <c r="AK18"/>
  <c r="AL18" s="1"/>
  <c r="U18"/>
  <c r="V18" s="1"/>
  <c r="E18"/>
  <c r="F18" s="1"/>
  <c r="AK17"/>
  <c r="AL17" s="1"/>
  <c r="U17"/>
  <c r="V17" s="1"/>
  <c r="E17"/>
  <c r="F17" s="1"/>
  <c r="AK16"/>
  <c r="AL16" s="1"/>
  <c r="U16"/>
  <c r="V16" s="1"/>
  <c r="E16"/>
  <c r="F16" s="1"/>
  <c r="AK15"/>
  <c r="AL15" s="1"/>
  <c r="U15"/>
  <c r="V15" s="1"/>
  <c r="E15"/>
  <c r="F15" s="1"/>
  <c r="AK14"/>
  <c r="AL14" s="1"/>
  <c r="U14"/>
  <c r="V14" s="1"/>
  <c r="E14"/>
  <c r="F14" s="1"/>
  <c r="AX13"/>
  <c r="AW13"/>
  <c r="AV13"/>
  <c r="AU13"/>
  <c r="AT13"/>
  <c r="AS13"/>
  <c r="AR13"/>
  <c r="AQ13"/>
  <c r="AP13"/>
  <c r="AO13"/>
  <c r="AN13"/>
  <c r="AM13"/>
  <c r="AK13"/>
  <c r="AL13" s="1"/>
  <c r="AJ13"/>
  <c r="AI13"/>
  <c r="AH13"/>
  <c r="AG13"/>
  <c r="AF13"/>
  <c r="AE13"/>
  <c r="AD13"/>
  <c r="AC13"/>
  <c r="AB13"/>
  <c r="AA13"/>
  <c r="Z13"/>
  <c r="Y13"/>
  <c r="X13"/>
  <c r="W13"/>
  <c r="U13"/>
  <c r="V13" s="1"/>
  <c r="T13"/>
  <c r="S13"/>
  <c r="R13"/>
  <c r="Q13"/>
  <c r="P13"/>
  <c r="O13"/>
  <c r="N13"/>
  <c r="M13"/>
  <c r="L13"/>
  <c r="K13"/>
  <c r="J13"/>
  <c r="I13"/>
  <c r="H13"/>
  <c r="G13"/>
  <c r="E13"/>
  <c r="F13" s="1"/>
  <c r="D13"/>
  <c r="C13"/>
  <c r="AK12"/>
  <c r="AL12" s="1"/>
  <c r="U12"/>
  <c r="E12"/>
  <c r="F12" s="1"/>
  <c r="AK11"/>
  <c r="AL11" s="1"/>
  <c r="U11"/>
  <c r="V11" s="1"/>
  <c r="E11"/>
  <c r="F11" s="1"/>
  <c r="AK10"/>
  <c r="AL10" s="1"/>
  <c r="U10"/>
  <c r="V10" s="1"/>
  <c r="E10"/>
  <c r="F10" s="1"/>
  <c r="AK9"/>
  <c r="AL9" s="1"/>
  <c r="U9"/>
  <c r="V9" s="1"/>
  <c r="E9"/>
  <c r="F9" s="1"/>
  <c r="AX8"/>
  <c r="AW8"/>
  <c r="AV8"/>
  <c r="AU8"/>
  <c r="AT8"/>
  <c r="AS8"/>
  <c r="AR8"/>
  <c r="AQ8"/>
  <c r="AP8"/>
  <c r="AO8"/>
  <c r="AN8"/>
  <c r="AM8"/>
  <c r="AK8"/>
  <c r="AL8" s="1"/>
  <c r="AJ8"/>
  <c r="AI8"/>
  <c r="AH8"/>
  <c r="AG8"/>
  <c r="AG7" s="1"/>
  <c r="AF8"/>
  <c r="AE8"/>
  <c r="AE7" s="1"/>
  <c r="AD8"/>
  <c r="AC8"/>
  <c r="AC7" s="1"/>
  <c r="AB8"/>
  <c r="AA8"/>
  <c r="AA7" s="1"/>
  <c r="Z8"/>
  <c r="Y8"/>
  <c r="Y7" s="1"/>
  <c r="X8"/>
  <c r="W8"/>
  <c r="W7" s="1"/>
  <c r="U8"/>
  <c r="V8" s="1"/>
  <c r="T8"/>
  <c r="S8"/>
  <c r="S7" s="1"/>
  <c r="R8"/>
  <c r="Q8"/>
  <c r="Q7" s="1"/>
  <c r="P8"/>
  <c r="O8"/>
  <c r="O7" s="1"/>
  <c r="N8"/>
  <c r="M8"/>
  <c r="M7" s="1"/>
  <c r="L8"/>
  <c r="K8"/>
  <c r="K7" s="1"/>
  <c r="J8"/>
  <c r="I8"/>
  <c r="I7" s="1"/>
  <c r="H8"/>
  <c r="G8"/>
  <c r="G7" s="1"/>
  <c r="E8"/>
  <c r="F8" s="1"/>
  <c r="D8"/>
  <c r="C8"/>
  <c r="AX7"/>
  <c r="AW7"/>
  <c r="AV7"/>
  <c r="AU7"/>
  <c r="AT7"/>
  <c r="AS7"/>
  <c r="AR7"/>
  <c r="AQ7"/>
  <c r="AP7"/>
  <c r="AO7"/>
  <c r="AN7"/>
  <c r="AM7"/>
  <c r="AK7"/>
  <c r="AL7" s="1"/>
  <c r="AJ7"/>
  <c r="AH7"/>
  <c r="AF7"/>
  <c r="AD7"/>
  <c r="AB7"/>
  <c r="Z7"/>
  <c r="X7"/>
  <c r="T7"/>
  <c r="R7"/>
  <c r="P7"/>
  <c r="N7"/>
  <c r="L7"/>
  <c r="J7"/>
  <c r="H7"/>
  <c r="D7"/>
  <c r="BA21" i="11"/>
  <c r="AZ21"/>
  <c r="AK21"/>
  <c r="AL21" s="1"/>
  <c r="U21"/>
  <c r="V21" s="1"/>
  <c r="E21"/>
  <c r="F21" s="1"/>
  <c r="BA20"/>
  <c r="AZ20"/>
  <c r="AL20"/>
  <c r="AK20"/>
  <c r="AY20" s="1"/>
  <c r="V20"/>
  <c r="U20"/>
  <c r="F20"/>
  <c r="E20"/>
  <c r="BA19"/>
  <c r="AZ19"/>
  <c r="AK19"/>
  <c r="AL19" s="1"/>
  <c r="U19"/>
  <c r="V19" s="1"/>
  <c r="E19"/>
  <c r="F19" s="1"/>
  <c r="BA18"/>
  <c r="AZ18"/>
  <c r="AL18"/>
  <c r="AK18"/>
  <c r="AY18" s="1"/>
  <c r="V18"/>
  <c r="U18"/>
  <c r="F18"/>
  <c r="E18"/>
  <c r="BA17"/>
  <c r="AZ17"/>
  <c r="AK17"/>
  <c r="AL17" s="1"/>
  <c r="U17"/>
  <c r="V17" s="1"/>
  <c r="E17"/>
  <c r="F17" s="1"/>
  <c r="BA16"/>
  <c r="AZ16"/>
  <c r="AL16"/>
  <c r="AK16"/>
  <c r="AY16" s="1"/>
  <c r="V16"/>
  <c r="U16"/>
  <c r="F16"/>
  <c r="E16"/>
  <c r="AL15"/>
  <c r="AK15"/>
  <c r="V15"/>
  <c r="U15"/>
  <c r="F15"/>
  <c r="E15"/>
  <c r="BA14"/>
  <c r="AZ14"/>
  <c r="AL14"/>
  <c r="AK14"/>
  <c r="V14"/>
  <c r="U14"/>
  <c r="F14"/>
  <c r="E14"/>
  <c r="BA13"/>
  <c r="AZ13"/>
  <c r="AX13"/>
  <c r="AW13"/>
  <c r="AV13"/>
  <c r="AU13"/>
  <c r="AT13"/>
  <c r="AS13"/>
  <c r="AR13"/>
  <c r="AQ13"/>
  <c r="AP13"/>
  <c r="AO13"/>
  <c r="AN13"/>
  <c r="AM13"/>
  <c r="AK13"/>
  <c r="AL13" s="1"/>
  <c r="AJ13"/>
  <c r="AI13"/>
  <c r="AH13"/>
  <c r="AG13"/>
  <c r="AF13"/>
  <c r="AE13"/>
  <c r="AD13"/>
  <c r="AC13"/>
  <c r="AB13"/>
  <c r="AA13"/>
  <c r="Z13"/>
  <c r="Y13"/>
  <c r="X13"/>
  <c r="W13"/>
  <c r="U13"/>
  <c r="V13" s="1"/>
  <c r="T13"/>
  <c r="S13"/>
  <c r="R13"/>
  <c r="Q13"/>
  <c r="P13"/>
  <c r="O13"/>
  <c r="N13"/>
  <c r="M13"/>
  <c r="L13"/>
  <c r="K13"/>
  <c r="J13"/>
  <c r="I13"/>
  <c r="H13"/>
  <c r="G13"/>
  <c r="E13"/>
  <c r="F13" s="1"/>
  <c r="D13"/>
  <c r="C13"/>
  <c r="AK12"/>
  <c r="AL12" s="1"/>
  <c r="U12"/>
  <c r="F12"/>
  <c r="E12"/>
  <c r="AL11"/>
  <c r="AK11"/>
  <c r="V11"/>
  <c r="U11"/>
  <c r="F11"/>
  <c r="E11"/>
  <c r="BA10"/>
  <c r="AZ10"/>
  <c r="AL10"/>
  <c r="AK10"/>
  <c r="V10"/>
  <c r="U10"/>
  <c r="F10"/>
  <c r="E10"/>
  <c r="BA9"/>
  <c r="AZ9"/>
  <c r="AL9"/>
  <c r="AK9"/>
  <c r="V9"/>
  <c r="U9"/>
  <c r="F9"/>
  <c r="E9"/>
  <c r="BA8"/>
  <c r="AZ8"/>
  <c r="AY8"/>
  <c r="AX8"/>
  <c r="AW8"/>
  <c r="AW7" s="1"/>
  <c r="AV8"/>
  <c r="AU8"/>
  <c r="AU7" s="1"/>
  <c r="AT8"/>
  <c r="AS8"/>
  <c r="AS7" s="1"/>
  <c r="AR8"/>
  <c r="AQ8"/>
  <c r="AQ7" s="1"/>
  <c r="AP8"/>
  <c r="AO8"/>
  <c r="AO7" s="1"/>
  <c r="AN8"/>
  <c r="AM8"/>
  <c r="AM7" s="1"/>
  <c r="AK8"/>
  <c r="AL8" s="1"/>
  <c r="AJ8"/>
  <c r="AI8"/>
  <c r="AH8"/>
  <c r="AG8"/>
  <c r="AF8"/>
  <c r="AE8"/>
  <c r="AD8"/>
  <c r="AC8"/>
  <c r="AB8"/>
  <c r="AA8"/>
  <c r="Z8"/>
  <c r="Y8"/>
  <c r="X8"/>
  <c r="W8"/>
  <c r="U8"/>
  <c r="V8" s="1"/>
  <c r="T8"/>
  <c r="S8"/>
  <c r="R8"/>
  <c r="Q8"/>
  <c r="P8"/>
  <c r="O8"/>
  <c r="N8"/>
  <c r="M8"/>
  <c r="L8"/>
  <c r="K8"/>
  <c r="J8"/>
  <c r="I8"/>
  <c r="H8"/>
  <c r="G8"/>
  <c r="E8"/>
  <c r="F8" s="1"/>
  <c r="D8"/>
  <c r="C8"/>
  <c r="BA7"/>
  <c r="AZ7"/>
  <c r="AX7"/>
  <c r="AV7"/>
  <c r="AT7"/>
  <c r="AR7"/>
  <c r="AP7"/>
  <c r="AN7"/>
  <c r="AJ7"/>
  <c r="AH7"/>
  <c r="AG7"/>
  <c r="AF7"/>
  <c r="AE7"/>
  <c r="AD7"/>
  <c r="AC7"/>
  <c r="AB7"/>
  <c r="AA7"/>
  <c r="Z7"/>
  <c r="Y7"/>
  <c r="X7"/>
  <c r="W7"/>
  <c r="U7"/>
  <c r="V7" s="1"/>
  <c r="T7"/>
  <c r="S7"/>
  <c r="R7"/>
  <c r="Q7"/>
  <c r="P7"/>
  <c r="O7"/>
  <c r="N7"/>
  <c r="M7"/>
  <c r="L7"/>
  <c r="K7"/>
  <c r="J7"/>
  <c r="I7"/>
  <c r="H7"/>
  <c r="G7"/>
  <c r="E7"/>
  <c r="F7" s="1"/>
  <c r="D7"/>
  <c r="BB21" i="10"/>
  <c r="AM21"/>
  <c r="AN21" s="1"/>
  <c r="W21"/>
  <c r="X21" s="1"/>
  <c r="G21"/>
  <c r="H21" s="1"/>
  <c r="BB20"/>
  <c r="AM20"/>
  <c r="AN20" s="1"/>
  <c r="W20"/>
  <c r="X20" s="1"/>
  <c r="G20"/>
  <c r="H20" s="1"/>
  <c r="BB19"/>
  <c r="AM19"/>
  <c r="AN19" s="1"/>
  <c r="X19"/>
  <c r="W19"/>
  <c r="H19"/>
  <c r="G19"/>
  <c r="BB18"/>
  <c r="AM18"/>
  <c r="AN18" s="1"/>
  <c r="W18"/>
  <c r="X18" s="1"/>
  <c r="G18"/>
  <c r="H18" s="1"/>
  <c r="BB17"/>
  <c r="AM17"/>
  <c r="AN17" s="1"/>
  <c r="W17"/>
  <c r="X17" s="1"/>
  <c r="G17"/>
  <c r="H17" s="1"/>
  <c r="BB16"/>
  <c r="AM16"/>
  <c r="AN16" s="1"/>
  <c r="W16"/>
  <c r="X16" s="1"/>
  <c r="G16"/>
  <c r="H16" s="1"/>
  <c r="BB15"/>
  <c r="AN15"/>
  <c r="AM15"/>
  <c r="X15"/>
  <c r="W15"/>
  <c r="H15"/>
  <c r="G15"/>
  <c r="BB14"/>
  <c r="AM14"/>
  <c r="AN14" s="1"/>
  <c r="W14"/>
  <c r="X14" s="1"/>
  <c r="G14"/>
  <c r="H14" s="1"/>
  <c r="BA13"/>
  <c r="AZ13"/>
  <c r="AY13"/>
  <c r="AX13"/>
  <c r="AW13"/>
  <c r="AV13"/>
  <c r="AU13"/>
  <c r="AT13"/>
  <c r="AS13"/>
  <c r="AR13"/>
  <c r="AQ13"/>
  <c r="AP13"/>
  <c r="AO13"/>
  <c r="AM13"/>
  <c r="AL13"/>
  <c r="AK13"/>
  <c r="AJ13"/>
  <c r="AI13"/>
  <c r="AH13"/>
  <c r="AG13"/>
  <c r="AF13"/>
  <c r="AE13"/>
  <c r="AD13"/>
  <c r="AC13"/>
  <c r="AB13"/>
  <c r="AA13"/>
  <c r="Z13"/>
  <c r="Y13"/>
  <c r="W13"/>
  <c r="V13"/>
  <c r="U13"/>
  <c r="T13"/>
  <c r="S13"/>
  <c r="R13"/>
  <c r="Q13"/>
  <c r="P13"/>
  <c r="O13"/>
  <c r="N13"/>
  <c r="M13"/>
  <c r="L13"/>
  <c r="K13"/>
  <c r="J13"/>
  <c r="I13"/>
  <c r="G13"/>
  <c r="F13"/>
  <c r="E13"/>
  <c r="D13"/>
  <c r="C13"/>
  <c r="AM12"/>
  <c r="AN12" s="1"/>
  <c r="W12"/>
  <c r="G12"/>
  <c r="H12" s="1"/>
  <c r="BB11"/>
  <c r="AM11"/>
  <c r="AN11" s="1"/>
  <c r="W11"/>
  <c r="X11" s="1"/>
  <c r="G11"/>
  <c r="H11" s="1"/>
  <c r="BB10"/>
  <c r="AN10"/>
  <c r="AM10"/>
  <c r="X10"/>
  <c r="W10"/>
  <c r="G10"/>
  <c r="H10" s="1"/>
  <c r="BB9"/>
  <c r="AM9"/>
  <c r="AN9" s="1"/>
  <c r="W9"/>
  <c r="X9" s="1"/>
  <c r="G9"/>
  <c r="H9" s="1"/>
  <c r="BA8"/>
  <c r="AZ8"/>
  <c r="AY8"/>
  <c r="AX8"/>
  <c r="AW8"/>
  <c r="AV8"/>
  <c r="AU8"/>
  <c r="AT8"/>
  <c r="AS8"/>
  <c r="AR8"/>
  <c r="AQ8"/>
  <c r="AP8"/>
  <c r="AO8"/>
  <c r="AM8"/>
  <c r="AL8"/>
  <c r="AK8"/>
  <c r="AJ8"/>
  <c r="AI8"/>
  <c r="AH8"/>
  <c r="AG8"/>
  <c r="AF8"/>
  <c r="AE8"/>
  <c r="AD8"/>
  <c r="AC8"/>
  <c r="AB8"/>
  <c r="AA8"/>
  <c r="Z8"/>
  <c r="Y8"/>
  <c r="W8"/>
  <c r="V8"/>
  <c r="U8"/>
  <c r="T8"/>
  <c r="S8"/>
  <c r="R8"/>
  <c r="Q8"/>
  <c r="P8"/>
  <c r="O8"/>
  <c r="N8"/>
  <c r="M8"/>
  <c r="L8"/>
  <c r="K8"/>
  <c r="J8"/>
  <c r="I8"/>
  <c r="G8"/>
  <c r="F8"/>
  <c r="E8"/>
  <c r="D8"/>
  <c r="C8"/>
  <c r="BA7"/>
  <c r="AZ7"/>
  <c r="AY7"/>
  <c r="AX7"/>
  <c r="AW7"/>
  <c r="AV7"/>
  <c r="AU7"/>
  <c r="AT7"/>
  <c r="AS7"/>
  <c r="AR7"/>
  <c r="AQ7"/>
  <c r="AP7"/>
  <c r="AO7"/>
  <c r="AM7"/>
  <c r="AL7"/>
  <c r="AK7"/>
  <c r="AJ7"/>
  <c r="AI7"/>
  <c r="AH7"/>
  <c r="AG7"/>
  <c r="AF7"/>
  <c r="AE7"/>
  <c r="AD7"/>
  <c r="AC7"/>
  <c r="AB7"/>
  <c r="AA7"/>
  <c r="Z7"/>
  <c r="Y7"/>
  <c r="W7"/>
  <c r="V7"/>
  <c r="U7"/>
  <c r="T7"/>
  <c r="S7"/>
  <c r="R7"/>
  <c r="Q7"/>
  <c r="P7"/>
  <c r="O7"/>
  <c r="N7"/>
  <c r="M7"/>
  <c r="L7"/>
  <c r="K7"/>
  <c r="J7"/>
  <c r="I7"/>
  <c r="G7"/>
  <c r="F7"/>
  <c r="E7"/>
  <c r="H7" s="1"/>
  <c r="D7"/>
  <c r="C7"/>
  <c r="G49" i="7"/>
  <c r="F49"/>
  <c r="G44" i="8"/>
  <c r="H67" i="9"/>
  <c r="H66"/>
  <c r="G66"/>
  <c r="H65"/>
  <c r="G65"/>
  <c r="H64"/>
  <c r="G64"/>
  <c r="H62"/>
  <c r="G62"/>
  <c r="H61"/>
  <c r="G61"/>
  <c r="H60"/>
  <c r="G60"/>
  <c r="H59"/>
  <c r="G59"/>
  <c r="H57"/>
  <c r="G57"/>
  <c r="H56"/>
  <c r="G56"/>
  <c r="G55"/>
  <c r="G64" i="7"/>
  <c r="G63"/>
  <c r="G62"/>
  <c r="G60"/>
  <c r="G59"/>
  <c r="G58"/>
  <c r="G57"/>
  <c r="G55"/>
  <c r="G54"/>
  <c r="F64"/>
  <c r="F63"/>
  <c r="F62"/>
  <c r="F60"/>
  <c r="F59"/>
  <c r="F58"/>
  <c r="F57"/>
  <c r="F55"/>
  <c r="F54"/>
  <c r="F53"/>
  <c r="T63" i="5"/>
  <c r="R63"/>
  <c r="T58"/>
  <c r="AN7" i="10" l="1"/>
  <c r="H8"/>
  <c r="AN8"/>
  <c r="X13"/>
  <c r="BB13"/>
  <c r="X7"/>
  <c r="BB7"/>
  <c r="X8"/>
  <c r="BB8"/>
  <c r="H13"/>
  <c r="AN13"/>
  <c r="E7" i="12"/>
  <c r="F7" s="1"/>
  <c r="U7"/>
  <c r="V7" s="1"/>
  <c r="AY13" i="11"/>
  <c r="AY7" s="1"/>
  <c r="AY17"/>
  <c r="AY19"/>
  <c r="AY21"/>
  <c r="AK7"/>
  <c r="AL7" s="1"/>
  <c r="T64" i="5"/>
  <c r="S64"/>
  <c r="R64"/>
  <c r="T62"/>
  <c r="S62"/>
  <c r="R62"/>
  <c r="T60"/>
  <c r="S60"/>
  <c r="R60"/>
  <c r="T59"/>
  <c r="S59"/>
  <c r="R59"/>
  <c r="S58"/>
  <c r="R58"/>
  <c r="T57"/>
  <c r="R57"/>
  <c r="T55"/>
  <c r="S55"/>
  <c r="R55"/>
  <c r="T54"/>
  <c r="S54"/>
  <c r="R54"/>
  <c r="S53" l="1"/>
  <c r="R53"/>
  <c r="S49"/>
  <c r="S48" l="1"/>
  <c r="S47"/>
  <c r="S45"/>
  <c r="R49"/>
  <c r="R48"/>
  <c r="R47"/>
  <c r="R45"/>
  <c r="T11"/>
  <c r="S11"/>
  <c r="I55" i="9" l="1"/>
  <c r="F55"/>
  <c r="F49"/>
  <c r="F36"/>
  <c r="F34"/>
  <c r="F40" s="1"/>
  <c r="I25"/>
  <c r="H25"/>
  <c r="G11"/>
  <c r="F11"/>
  <c r="F48" s="1"/>
  <c r="D11"/>
  <c r="H43" i="8"/>
  <c r="G43"/>
  <c r="D44"/>
  <c r="D43"/>
  <c r="H53" i="7"/>
  <c r="H25"/>
  <c r="G25"/>
  <c r="E53"/>
  <c r="E48"/>
  <c r="E36"/>
  <c r="E34"/>
  <c r="E40" s="1"/>
  <c r="F11"/>
  <c r="E11"/>
  <c r="E47" s="1"/>
  <c r="D11"/>
  <c r="Q58" i="5"/>
  <c r="P58"/>
  <c r="Q54"/>
  <c r="F39" i="9" l="1"/>
  <c r="F46"/>
  <c r="E45" i="7"/>
  <c r="E39"/>
  <c r="Q57" i="5"/>
  <c r="P57"/>
  <c r="O55"/>
  <c r="O54"/>
  <c r="Q55"/>
  <c r="N54"/>
  <c r="P55"/>
  <c r="P54"/>
  <c r="N58"/>
  <c r="O58"/>
  <c r="O60"/>
  <c r="O59"/>
  <c r="Q59" l="1"/>
  <c r="P59"/>
  <c r="Q60"/>
  <c r="P60"/>
  <c r="Q62"/>
  <c r="P62"/>
  <c r="O62"/>
  <c r="Q63"/>
  <c r="P63"/>
  <c r="O63"/>
  <c r="Q64"/>
  <c r="P64"/>
  <c r="O64"/>
  <c r="Q53"/>
  <c r="P53"/>
  <c r="Q49"/>
  <c r="P49"/>
  <c r="O49"/>
  <c r="Q48"/>
  <c r="P48"/>
  <c r="O48"/>
  <c r="P47"/>
  <c r="O47"/>
  <c r="Q46"/>
  <c r="Q47" s="1"/>
  <c r="P45"/>
  <c r="O45"/>
  <c r="Q44"/>
  <c r="Q45" s="1"/>
  <c r="Q42"/>
  <c r="O38"/>
  <c r="Q36"/>
  <c r="P36"/>
  <c r="Q34"/>
  <c r="Q39" s="1"/>
  <c r="Q40" s="1"/>
  <c r="P34"/>
  <c r="P39" s="1"/>
  <c r="P40" s="1"/>
  <c r="O34"/>
  <c r="O33"/>
  <c r="O32"/>
  <c r="O31"/>
  <c r="O30"/>
  <c r="O29"/>
  <c r="O28"/>
  <c r="O27"/>
  <c r="O26"/>
  <c r="Q25"/>
  <c r="P25"/>
  <c r="O25"/>
  <c r="Q11"/>
  <c r="P11"/>
  <c r="O11"/>
  <c r="M59"/>
  <c r="N63"/>
  <c r="M63"/>
  <c r="L64"/>
  <c r="L62"/>
  <c r="N64"/>
  <c r="M64"/>
  <c r="I11"/>
  <c r="M62"/>
  <c r="N62"/>
  <c r="N60"/>
  <c r="M60"/>
  <c r="L60"/>
  <c r="N59"/>
  <c r="L59"/>
  <c r="L58"/>
  <c r="N57"/>
  <c r="M57"/>
  <c r="L57"/>
  <c r="N55"/>
  <c r="M55"/>
  <c r="L55"/>
  <c r="M54"/>
  <c r="L54"/>
  <c r="N53"/>
  <c r="M53"/>
  <c r="L49"/>
  <c r="L48"/>
  <c r="N49"/>
  <c r="M49"/>
  <c r="N48"/>
  <c r="M48"/>
  <c r="M47"/>
  <c r="N46"/>
  <c r="M45"/>
  <c r="N44"/>
  <c r="N42"/>
  <c r="L38"/>
  <c r="L34"/>
  <c r="L33"/>
  <c r="L32"/>
  <c r="L31"/>
  <c r="L30"/>
  <c r="L29"/>
  <c r="L28"/>
  <c r="L27"/>
  <c r="L26"/>
  <c r="N36"/>
  <c r="M36"/>
  <c r="N34"/>
  <c r="M34"/>
  <c r="M39" s="1"/>
  <c r="M40" s="1"/>
  <c r="N25"/>
  <c r="M25"/>
  <c r="L11"/>
  <c r="L45" s="1"/>
  <c r="N11"/>
  <c r="M11"/>
  <c r="K60"/>
  <c r="J60"/>
  <c r="I60"/>
  <c r="H60"/>
  <c r="G60"/>
  <c r="F60"/>
  <c r="E60"/>
  <c r="D60"/>
  <c r="K59"/>
  <c r="J59"/>
  <c r="I59"/>
  <c r="H59"/>
  <c r="G59"/>
  <c r="F59"/>
  <c r="E59"/>
  <c r="D59"/>
  <c r="K58"/>
  <c r="J58"/>
  <c r="H58"/>
  <c r="G58"/>
  <c r="F58"/>
  <c r="E58"/>
  <c r="D58"/>
  <c r="K55"/>
  <c r="J55"/>
  <c r="I55"/>
  <c r="H55"/>
  <c r="G55"/>
  <c r="F55"/>
  <c r="E55"/>
  <c r="D55"/>
  <c r="K54"/>
  <c r="J54"/>
  <c r="I54"/>
  <c r="H54"/>
  <c r="G54"/>
  <c r="F54"/>
  <c r="E54"/>
  <c r="D54"/>
  <c r="N39" l="1"/>
  <c r="N40" s="1"/>
  <c r="N45"/>
  <c r="N47"/>
  <c r="L47"/>
  <c r="L63"/>
  <c r="E52" i="6"/>
  <c r="E48"/>
  <c r="E47"/>
  <c r="E35"/>
  <c r="E33" s="1"/>
  <c r="E10"/>
  <c r="E44" s="1"/>
  <c r="D10"/>
  <c r="A3"/>
  <c r="F11" i="2"/>
  <c r="E53"/>
  <c r="E49"/>
  <c r="E48"/>
  <c r="E11"/>
  <c r="E47" s="1"/>
  <c r="E36"/>
  <c r="E34" s="1"/>
  <c r="E40" s="1"/>
  <c r="D11"/>
  <c r="J48" i="5"/>
  <c r="K48"/>
  <c r="I34"/>
  <c r="I49"/>
  <c r="I48"/>
  <c r="I38"/>
  <c r="I33"/>
  <c r="I32"/>
  <c r="I31"/>
  <c r="I30"/>
  <c r="I29"/>
  <c r="I28"/>
  <c r="I27"/>
  <c r="I26"/>
  <c r="K53"/>
  <c r="J53"/>
  <c r="K49"/>
  <c r="J49"/>
  <c r="K46"/>
  <c r="K44"/>
  <c r="K42"/>
  <c r="K36"/>
  <c r="J36"/>
  <c r="K34"/>
  <c r="J34"/>
  <c r="J39" s="1"/>
  <c r="J40" s="1"/>
  <c r="K25"/>
  <c r="J25"/>
  <c r="L25" s="1"/>
  <c r="K11"/>
  <c r="K64" s="1"/>
  <c r="J11"/>
  <c r="J63" s="1"/>
  <c r="I63"/>
  <c r="H44"/>
  <c r="E48"/>
  <c r="F48"/>
  <c r="G48"/>
  <c r="H48"/>
  <c r="G46"/>
  <c r="H46" s="1"/>
  <c r="G44"/>
  <c r="G42"/>
  <c r="H42" s="1"/>
  <c r="D48"/>
  <c r="F49"/>
  <c r="D49"/>
  <c r="G47" l="1"/>
  <c r="K39"/>
  <c r="K40" s="1"/>
  <c r="K45"/>
  <c r="K62"/>
  <c r="J64"/>
  <c r="K47"/>
  <c r="J62"/>
  <c r="K63"/>
  <c r="E39" i="2"/>
  <c r="E45"/>
  <c r="E46" i="6"/>
  <c r="E39"/>
  <c r="E38"/>
  <c r="I64" i="5"/>
  <c r="I62"/>
  <c r="I47"/>
  <c r="I45"/>
  <c r="J45"/>
  <c r="J47"/>
  <c r="H49"/>
  <c r="G49"/>
  <c r="E49"/>
  <c r="D63"/>
  <c r="D62"/>
  <c r="F52"/>
  <c r="F53"/>
  <c r="F51"/>
  <c r="H53"/>
  <c r="G53"/>
  <c r="E53"/>
  <c r="D53"/>
  <c r="F26"/>
  <c r="F27"/>
  <c r="F28"/>
  <c r="F29"/>
  <c r="F30"/>
  <c r="F31"/>
  <c r="F32"/>
  <c r="F33"/>
  <c r="F35"/>
  <c r="F37"/>
  <c r="F38"/>
  <c r="D34"/>
  <c r="F34" s="1"/>
  <c r="D36"/>
  <c r="F36" s="1"/>
  <c r="D25"/>
  <c r="F25" s="1"/>
  <c r="H36"/>
  <c r="H34"/>
  <c r="H25"/>
  <c r="G36"/>
  <c r="G34" s="1"/>
  <c r="G39" s="1"/>
  <c r="G40" s="1"/>
  <c r="G25"/>
  <c r="I25" s="1"/>
  <c r="E25"/>
  <c r="F11"/>
  <c r="D11"/>
  <c r="H11"/>
  <c r="H47" s="1"/>
  <c r="G11"/>
  <c r="G45" s="1"/>
  <c r="E34"/>
  <c r="E39" s="1"/>
  <c r="E40" s="1"/>
  <c r="E36"/>
  <c r="E11"/>
  <c r="E47" l="1"/>
  <c r="E45"/>
  <c r="F47"/>
  <c r="F45"/>
  <c r="H39"/>
  <c r="H40" s="1"/>
  <c r="E63"/>
  <c r="H63"/>
  <c r="H45"/>
  <c r="D47"/>
  <c r="D45"/>
  <c r="D39"/>
  <c r="F62"/>
  <c r="F63"/>
  <c r="G63"/>
  <c r="A3" i="4"/>
  <c r="A28"/>
  <c r="A28" i="3"/>
  <c r="D40" i="5" l="1"/>
  <c r="F40" s="1"/>
  <c r="F39"/>
  <c r="A3" i="3"/>
</calcChain>
</file>

<file path=xl/comments1.xml><?xml version="1.0" encoding="utf-8"?>
<comments xmlns="http://schemas.openxmlformats.org/spreadsheetml/2006/main">
  <authors>
    <author>Admin</author>
    <author>Welcome</author>
  </authors>
  <commentList>
    <comment ref="Q3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giảm 02 xã do sát nhập theo Quyết định 501 và 503/QĐ-UBND tỉnh ngayd 7/5/2020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nghỉ huu</t>
        </r>
      </text>
    </comment>
    <comment ref="S54" authorId="1">
      <text>
        <r>
          <rPr>
            <b/>
            <sz val="9"/>
            <color indexed="81"/>
            <rFont val="Tahoma"/>
          </rPr>
          <t>Welcome:</t>
        </r>
        <r>
          <rPr>
            <sz val="9"/>
            <color indexed="81"/>
            <rFont val="Tahoma"/>
          </rPr>
          <t xml:space="preserve">
số liệu tháng 5 vì chỉ số chết không ước</t>
        </r>
      </text>
    </comment>
    <comment ref="S55" authorId="1">
      <text>
        <r>
          <rPr>
            <b/>
            <sz val="9"/>
            <color indexed="81"/>
            <rFont val="Tahoma"/>
          </rPr>
          <t>Welcome:</t>
        </r>
        <r>
          <rPr>
            <sz val="9"/>
            <color indexed="81"/>
            <rFont val="Tahoma"/>
          </rPr>
          <t xml:space="preserve">
số liệu tháng 5 vì chỉ số chết không ước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tết (tiêm trong tháng tiếp theo)</t>
        </r>
      </text>
    </comment>
    <comment ref="T70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đã thi tốt nghiệp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G5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giảm 01 xã do sáp nhập</t>
        </r>
      </text>
    </comment>
    <comment ref="G70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Đã tốt nghiệp ra trường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G43" authorId="0">
      <text>
        <r>
          <rPr>
            <sz val="9"/>
            <color indexed="81"/>
            <rFont val="Tahoma"/>
            <family val="2"/>
          </rPr>
          <t>Admin: giảm một xã đạt tiêu chí do sáp nhập xã, Tỷ lệ xã đạt tiêu chí tăng do giảm số xã xuống còn 106 xã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Tỷ lệ này tăng do sáp nhập xã. 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H5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giảm 01 xã do sáp nhập</t>
        </r>
      </text>
    </comment>
    <comment ref="H72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đã thi tốt nghiệp</t>
        </r>
      </text>
    </comment>
  </commentList>
</comments>
</file>

<file path=xl/comments5.xml><?xml version="1.0" encoding="utf-8"?>
<comments xmlns="http://schemas.openxmlformats.org/spreadsheetml/2006/main">
  <authors>
    <author>MyPC</author>
  </authors>
  <commentList>
    <comment ref="T18" authorId="0">
      <text>
        <r>
          <rPr>
            <b/>
            <sz val="9"/>
            <color indexed="81"/>
            <rFont val="Tahoma"/>
            <family val="2"/>
            <charset val="163"/>
          </rPr>
          <t>MyPC:</t>
        </r>
        <r>
          <rPr>
            <sz val="9"/>
            <color indexed="81"/>
            <rFont val="Tahoma"/>
            <family val="2"/>
            <charset val="163"/>
          </rPr>
          <t xml:space="preserve">
16163 lượt khám dự phòng</t>
        </r>
      </text>
    </comment>
  </commentList>
</comments>
</file>

<file path=xl/comments6.xml><?xml version="1.0" encoding="utf-8"?>
<comments xmlns="http://schemas.openxmlformats.org/spreadsheetml/2006/main">
  <authors>
    <author>MyPC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MyPC:</t>
        </r>
        <r>
          <rPr>
            <sz val="9"/>
            <color indexed="81"/>
            <rFont val="Tahoma"/>
            <charset val="1"/>
          </rPr>
          <t xml:space="preserve">
532.672</t>
        </r>
      </text>
    </comment>
    <comment ref="AI7" authorId="0">
      <text>
        <r>
          <rPr>
            <b/>
            <sz val="9"/>
            <color indexed="81"/>
            <rFont val="Tahoma"/>
            <charset val="1"/>
          </rPr>
          <t>MyPC:</t>
        </r>
        <r>
          <rPr>
            <sz val="9"/>
            <color indexed="81"/>
            <rFont val="Tahoma"/>
            <charset val="1"/>
          </rPr>
          <t xml:space="preserve">
365819</t>
        </r>
      </text>
    </comment>
  </commentList>
</comments>
</file>

<file path=xl/comments7.xml><?xml version="1.0" encoding="utf-8"?>
<comments xmlns="http://schemas.openxmlformats.org/spreadsheetml/2006/main">
  <authors>
    <author>MyPC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163"/>
          </rPr>
          <t>MyPC:</t>
        </r>
        <r>
          <rPr>
            <sz val="9"/>
            <color indexed="81"/>
            <rFont val="Tahoma"/>
            <family val="2"/>
            <charset val="163"/>
          </rPr>
          <t xml:space="preserve">
148071</t>
        </r>
      </text>
    </comment>
    <comment ref="AI7" authorId="0">
      <text>
        <r>
          <rPr>
            <b/>
            <sz val="9"/>
            <color indexed="81"/>
            <rFont val="Tahoma"/>
            <family val="2"/>
            <charset val="163"/>
          </rPr>
          <t>MyPC:</t>
        </r>
        <r>
          <rPr>
            <sz val="9"/>
            <color indexed="81"/>
            <rFont val="Tahoma"/>
            <family val="2"/>
            <charset val="163"/>
          </rPr>
          <t xml:space="preserve">
108162</t>
        </r>
      </text>
    </comment>
  </commentList>
</comments>
</file>

<file path=xl/sharedStrings.xml><?xml version="1.0" encoding="utf-8"?>
<sst xmlns="http://schemas.openxmlformats.org/spreadsheetml/2006/main" count="1238" uniqueCount="313">
  <si>
    <t>So sánh</t>
  </si>
  <si>
    <t>Nguyên nhân các chỉ tiêu đạt thấp so với cùng kỳ năm trước, hoặc thấp so với KH và dự kiến không đạt kế hoạch</t>
  </si>
  <si>
    <t>Ghi chú</t>
  </si>
  <si>
    <t>Kế hoạch</t>
  </si>
  <si>
    <t>Ước TH cả năm</t>
  </si>
  <si>
    <t>A</t>
  </si>
  <si>
    <t>B</t>
  </si>
  <si>
    <t>C</t>
  </si>
  <si>
    <t>Biểu số 2</t>
  </si>
  <si>
    <t>STT</t>
  </si>
  <si>
    <t xml:space="preserve">Chỉ tiêu </t>
  </si>
  <si>
    <t xml:space="preserve">Đơn vị tính </t>
  </si>
  <si>
    <t>I</t>
  </si>
  <si>
    <t xml:space="preserve">II </t>
  </si>
  <si>
    <t>CÁC CHỈ TIÊU THỰC HIỆN TRONG BÁO CÁO CẢ NĂM, KẾ HOẠCH NĂM SAU</t>
  </si>
  <si>
    <t>CÁC CHỈ TIÊU THỰC HIỆN TRONG BÁO CÁO CHÍNH THỨC</t>
  </si>
  <si>
    <t>Dân số-Kế hoạch hóa gia đình</t>
  </si>
  <si>
    <t>.........</t>
  </si>
  <si>
    <t>Phát triển sự nghiệp y tế</t>
  </si>
  <si>
    <t>......</t>
  </si>
  <si>
    <t>3,6,9 tháng năm trước</t>
  </si>
  <si>
    <t>Lũy kế 2,5,8 tháng đầu năm</t>
  </si>
  <si>
    <t>Ước TH 3,6,9 tháng đầu năm</t>
  </si>
  <si>
    <t xml:space="preserve">Ước TH 3,6,9 tháng năm 2019/TH 3,6,9 tháng năm trước </t>
  </si>
  <si>
    <t>Ước TH 3,6,9 tháng năm 2019/KH năm 2019</t>
  </si>
  <si>
    <t>TH năm trước</t>
  </si>
  <si>
    <t>Lũy kế 11 tháng</t>
  </si>
  <si>
    <t xml:space="preserve">Năm báo cáo </t>
  </si>
  <si>
    <t>Kế hoạch năm sau</t>
  </si>
  <si>
    <t xml:space="preserve">Báo cáo năm </t>
  </si>
  <si>
    <t>Ước TH năm /TH năm trước</t>
  </si>
  <si>
    <t xml:space="preserve">Ước TH năm/KH năm </t>
  </si>
  <si>
    <t xml:space="preserve">số liệu chính thức </t>
  </si>
  <si>
    <t xml:space="preserve">Ghi chú: báo cáo các chỉ tiêu dựa trên Quyết định của Sở Y tế giao hàng năm </t>
  </si>
  <si>
    <t>Biểu số 3</t>
  </si>
  <si>
    <t>Biểu số 4</t>
  </si>
  <si>
    <t xml:space="preserve">CÁC CHỈ TIÊU THỰC HIỆN TRONG BÁO CÁO 3,6,9 THÁNG </t>
  </si>
  <si>
    <t xml:space="preserve">CÁC CHỈ TIÊU THỰC HIỆN TRONG BÁO CÁO THÁNG </t>
  </si>
  <si>
    <t>Tháng 1</t>
  </si>
  <si>
    <t>Lũy kế 2 tháng</t>
  </si>
  <si>
    <t>Tháng 3</t>
  </si>
  <si>
    <t>Tháng 2</t>
  </si>
  <si>
    <t>Lũy kế 3 tháng</t>
  </si>
  <si>
    <t>Tháng 4</t>
  </si>
  <si>
    <t>Lũy kế 4 tháng</t>
  </si>
  <si>
    <t>Tháng 5</t>
  </si>
  <si>
    <t>Lũy kế 5 tháng</t>
  </si>
  <si>
    <t>Tháng 6</t>
  </si>
  <si>
    <t>Lũy kế 6 tháng</t>
  </si>
  <si>
    <t>Tháng 7</t>
  </si>
  <si>
    <t>Tháng 8</t>
  </si>
  <si>
    <t>Tháng 9</t>
  </si>
  <si>
    <t>Tháng 10</t>
  </si>
  <si>
    <t>Tháng 11</t>
  </si>
  <si>
    <t>Tháng 12</t>
  </si>
  <si>
    <t>Lũy kế 7 tháng</t>
  </si>
  <si>
    <t>Lũy kế 8 tháng</t>
  </si>
  <si>
    <t>Lũy kế 9 tháng</t>
  </si>
  <si>
    <t>Lũy kế 10 tháng</t>
  </si>
  <si>
    <t>Lũy kế 12 tháng</t>
  </si>
  <si>
    <t xml:space="preserve">Năm trước </t>
  </si>
  <si>
    <t>Trong tháng</t>
  </si>
  <si>
    <t>Biểu số 1</t>
  </si>
  <si>
    <t xml:space="preserve">  Dân số </t>
  </si>
  <si>
    <t xml:space="preserve"> - Dân số trung bình</t>
  </si>
  <si>
    <t xml:space="preserve"> Trong đó :  </t>
  </si>
  <si>
    <t xml:space="preserve">                + Dân số thành thị</t>
  </si>
  <si>
    <t xml:space="preserve">                + Dân số nông thôn</t>
  </si>
  <si>
    <t xml:space="preserve"> - Dân số là dân tộc thiểu số </t>
  </si>
  <si>
    <t xml:space="preserve"> - Tỷ lệ tăng dân số</t>
  </si>
  <si>
    <t xml:space="preserve"> - Tỷ lệ giảm sinh</t>
  </si>
  <si>
    <t xml:space="preserve"> - Tỷ lệ tăng dân số tự nhiên</t>
  </si>
  <si>
    <t xml:space="preserve"> - Tỷ số giới tính khi sinh (số bé trai so với 100 bé gái)</t>
  </si>
  <si>
    <t xml:space="preserve"> Kế hoạch hoá gia đình</t>
  </si>
  <si>
    <t xml:space="preserve">  - Tỷ lệ các cặp vợ chồng thực hiện các biện pháp tránh thai</t>
  </si>
  <si>
    <t xml:space="preserve"> - Tỷ lệ các bà mẹ sinh con thứ 3 trở lên so với tổng số bà mẹ sinh con trong năm</t>
  </si>
  <si>
    <t>Người</t>
  </si>
  <si>
    <t>%</t>
  </si>
  <si>
    <r>
      <t>%</t>
    </r>
    <r>
      <rPr>
        <i/>
        <sz val="8"/>
        <color theme="1"/>
        <rFont val="Times New Roman"/>
        <family val="1"/>
      </rPr>
      <t>o</t>
    </r>
  </si>
  <si>
    <t>%o</t>
  </si>
  <si>
    <t>Cơ sở y tế và giường bệnh</t>
  </si>
  <si>
    <r>
      <t xml:space="preserve">Số cơ sở y tế quốc lập </t>
    </r>
    <r>
      <rPr>
        <vertAlign val="superscript"/>
        <sz val="8"/>
        <color theme="1"/>
        <rFont val="Times New Roman"/>
        <family val="1"/>
      </rPr>
      <t>(*)</t>
    </r>
  </si>
  <si>
    <t>cơ sở</t>
  </si>
  <si>
    <t>- Bệnh viện đa khoa tỉnh</t>
  </si>
  <si>
    <t>BV</t>
  </si>
  <si>
    <t>- Bệnh viện chuyên khoa</t>
  </si>
  <si>
    <t xml:space="preserve"> -Trung tâm y tế huyện/thành phố</t>
  </si>
  <si>
    <t>TT</t>
  </si>
  <si>
    <t xml:space="preserve"> - Phòng khám đa khoa khu vực</t>
  </si>
  <si>
    <t>PK</t>
  </si>
  <si>
    <t xml:space="preserve"> - Trạm y tế xã/phường/thị trấn</t>
  </si>
  <si>
    <t>Trạm</t>
  </si>
  <si>
    <t>Cơ sở y tế tư nhân</t>
  </si>
  <si>
    <t>Tổng số giường bệnh quốc lập toàn tỉnh</t>
  </si>
  <si>
    <t>Giường</t>
  </si>
  <si>
    <t>- Giường bệnh tuyến tỉnh</t>
  </si>
  <si>
    <t>- Giường bệnh tuyến huyện</t>
  </si>
  <si>
    <t>+ Giường bệnh tại Bệnh viện/Trung tâm y tế huyện</t>
  </si>
  <si>
    <t>Số giường bệnh/10.000 dân (không tính giường trạm y tế xã)</t>
  </si>
  <si>
    <t>Trong đó : Số giường bệnh quốc lập/ 1 vạn dân</t>
  </si>
  <si>
    <t xml:space="preserve"> Giường </t>
  </si>
  <si>
    <t>II</t>
  </si>
  <si>
    <t>Nhân lực y tế</t>
  </si>
  <si>
    <t>Tổng số cán bộ toàn ngành</t>
  </si>
  <si>
    <t xml:space="preserve">Trong đó: </t>
  </si>
  <si>
    <t>1.1</t>
  </si>
  <si>
    <t>Bác sỹ</t>
  </si>
  <si>
    <t>Số bác sỹ/vạn dân</t>
  </si>
  <si>
    <t>1/10,000</t>
  </si>
  <si>
    <t>1.2</t>
  </si>
  <si>
    <t>Dược sỹ đại học</t>
  </si>
  <si>
    <t>Tỷ lệ dược sỹ/vạn dân</t>
  </si>
  <si>
    <t>Tỷ lệ Trạm y tế xã, phường, thị trấn có bác sỹ (biên chế tại trạm)</t>
  </si>
  <si>
    <t>Tỷ lệ thôn, bản có nhân viên y tế thôn bản hoạt động</t>
  </si>
  <si>
    <t>III</t>
  </si>
  <si>
    <t>Một số chỉ tiêu tổng hợp</t>
  </si>
  <si>
    <t xml:space="preserve"> Số xã đạt tiêu chí quốc gia về y tế xã</t>
  </si>
  <si>
    <t>Xã</t>
  </si>
  <si>
    <t>Trong đó: Số được công nhận mới trong năm</t>
  </si>
  <si>
    <t xml:space="preserve"> Tỷ lệ xã đạt tiêu chí quốc gia về y tế xã</t>
  </si>
  <si>
    <t xml:space="preserve"> Tỷ suất tử vong trẻ em &lt;1 tuổi trên 1.000 trẻ đẻ sống </t>
  </si>
  <si>
    <t xml:space="preserve"> %o </t>
  </si>
  <si>
    <t xml:space="preserve"> Tỷ suất tử vong trẻ em &lt;5 tuổi trên 1.000 trẻ đẻ sống </t>
  </si>
  <si>
    <t xml:space="preserve"> Tỷ lệ trẻ em dưới 5 tuổi bị suy dinh dưỡng (cân nặng theo tuổi) </t>
  </si>
  <si>
    <t xml:space="preserve"> % </t>
  </si>
  <si>
    <t xml:space="preserve"> Tỷ suất chết của người mẹ trong thời gian thai sản trên 100.000 trẻ đẻ sống </t>
  </si>
  <si>
    <t>1/1000,000</t>
  </si>
  <si>
    <t xml:space="preserve"> Tỷ lệ TE &lt; 1 tuổi được tiêm chủng đẩy đủ các loại Vacxin</t>
  </si>
  <si>
    <t>Tỷ lệ phụ nữ đẻ được khám thai</t>
  </si>
  <si>
    <t>Tỷ lệ phụ nữ đẻ được cán bộ y tế đỡ</t>
  </si>
  <si>
    <t>Tỷ suất mắc các bệnh xã hội</t>
  </si>
  <si>
    <t xml:space="preserve"> - Sốt rét</t>
  </si>
  <si>
    <t xml:space="preserve"> - Lao</t>
  </si>
  <si>
    <t>1/100.000</t>
  </si>
  <si>
    <t xml:space="preserve"> - HIV/ AIDS</t>
  </si>
  <si>
    <t>Tỷ lệ bao phủ bảo hiểm y tế</t>
  </si>
  <si>
    <t>IV</t>
  </si>
  <si>
    <t xml:space="preserve"> Đào tạo</t>
  </si>
  <si>
    <t>Duy trì đào tạo</t>
  </si>
  <si>
    <t xml:space="preserve"> - Bác sỹ CKI ,II, thạc sỹ</t>
  </si>
  <si>
    <t xml:space="preserve"> - Đại học Y, dược, y tế cộng đồng</t>
  </si>
  <si>
    <t xml:space="preserve"> - Đại học điều dưỡng</t>
  </si>
  <si>
    <t xml:space="preserve"> - Trung cấp y tế</t>
  </si>
  <si>
    <t>Đào tạo mới trong năm</t>
  </si>
  <si>
    <t xml:space="preserve"> - Đào tạo liên thông từ trung cấp lên cao đẳng, đại học tại Trường Trung cấp y tỉnh Lai Châu</t>
  </si>
  <si>
    <t xml:space="preserve"> - Điều trị thay thế các chất dạng thuốc phiện bằng thuốc Methadone</t>
  </si>
  <si>
    <t>Lượt Người</t>
  </si>
  <si>
    <t xml:space="preserve">A </t>
  </si>
  <si>
    <t xml:space="preserve">Dân số </t>
  </si>
  <si>
    <t>Trung tâm KSBT tỉnh</t>
  </si>
  <si>
    <t>+ Giường Phòng khám đa khoa khu vực</t>
  </si>
  <si>
    <t>- Cơ sở 2 huyện Sìn Hồ</t>
  </si>
  <si>
    <t>Chỉ số này 6 tháng cân/ lần</t>
  </si>
  <si>
    <t>Năm 2020</t>
  </si>
  <si>
    <t>Lũy kế 2 tháng đầu năm</t>
  </si>
  <si>
    <t>(Kèm theo báo cáo số               /BC-SYT ngày        tháng 5 năm 2020 của Sở Y tế Lai Châu)</t>
  </si>
  <si>
    <t>- Trung tâm KSBT tỉnh</t>
  </si>
  <si>
    <t xml:space="preserve"> - Trung tâm y tế huyện/thành phố</t>
  </si>
  <si>
    <t>Lũy kế 5 tháng đầu năm</t>
  </si>
  <si>
    <t>Ước TH 6 tháng đầu năm</t>
  </si>
  <si>
    <t xml:space="preserve">CÁC CHỈ TIÊU THỰC HIỆN TRONG BÁO CÁO 6 THÁNG </t>
  </si>
  <si>
    <t xml:space="preserve">CÁC CHỈ TIÊU THỰC HIỆN TRONG BÁO CÁO 3 THÁNG </t>
  </si>
  <si>
    <t>(Kèm theo báo cáo số               /BC-SYT ngày        tháng 3 năm 2020 của Sở Y tế Lai Châu)</t>
  </si>
  <si>
    <t>(Kèm theo báo cáo số               /BC-SYT ngày        tháng 6 năm 2020 của Sở Y tế Lai Châu)</t>
  </si>
  <si>
    <t>Biểu mẫu số 1</t>
  </si>
  <si>
    <t>CÁC CHỈ TIÊU CHỦ YẾU PHÁT TRIỂN KINH TẾ - XÃ HỘI  6 THÁNG ĐẦU NĂM 2020</t>
  </si>
  <si>
    <t>(Kèm theo Văn bản số       /UBND-TH ngày    tháng 6 năm 2020 của Ủy ban nhân dân tỉnh)</t>
  </si>
  <si>
    <t>TH 6 tháng năm 2019</t>
  </si>
  <si>
    <t>Mục tiêu đến năm 2020 theo Kế hoạch 5 năm 2016-2020 (Quyết định số 33/2015/QĐ-UBND ngày 11/12/2015)</t>
  </si>
  <si>
    <t>Kế hoạch năm 2020</t>
  </si>
  <si>
    <t>Nguyên nhân các chỉ tiêu đạt thấp so với cùng kỳ năm trước hoặc đạt thấp so với kế hoạch và dự kiến không đạt kế hoạch</t>
  </si>
  <si>
    <t xml:space="preserve">Kế hoạch </t>
  </si>
  <si>
    <t>Ước TH 6 tháng năm 2020/TH 6 tháng năm 2019</t>
  </si>
  <si>
    <t>Ước TH 6 tháng năm 2020/KH năm 2020</t>
  </si>
  <si>
    <t>Ước năm 2020/KH năm 2020</t>
  </si>
  <si>
    <t>Ước TH  năm đến 2020/KH 5 năm 2016-2020</t>
  </si>
  <si>
    <t>CHỈ TIÊU KINH TẾ</t>
  </si>
  <si>
    <r>
      <t>Tốc độ tăng trưởng tổng sản phẩm trên địa bàn</t>
    </r>
    <r>
      <rPr>
        <b/>
        <vertAlign val="superscript"/>
        <sz val="12"/>
        <rFont val="Times New Roman"/>
        <family val="1"/>
      </rPr>
      <t xml:space="preserve"> </t>
    </r>
  </si>
  <si>
    <t>10%/năm</t>
  </si>
  <si>
    <t>a</t>
  </si>
  <si>
    <r>
      <t xml:space="preserve">Cơ cấu GRDP theo ngành kinh tế </t>
    </r>
    <r>
      <rPr>
        <i/>
        <sz val="12"/>
        <rFont val="Times New Roman"/>
        <family val="1"/>
      </rPr>
      <t>(giá hiện hành)</t>
    </r>
  </si>
  <si>
    <t>Trong đó:</t>
  </si>
  <si>
    <t>+ Nông, lâm nghiệp, thuỷ sản</t>
  </si>
  <si>
    <t>+ Công nghiệp và xây dựng</t>
  </si>
  <si>
    <t>+ Dịch vụ và thuế trừ trợ cấp</t>
  </si>
  <si>
    <t>b</t>
  </si>
  <si>
    <t xml:space="preserve"> Bình quân GRDP/đầu người/ năm</t>
  </si>
  <si>
    <t>Triệu đồng</t>
  </si>
  <si>
    <t xml:space="preserve"> Tổng sản lượng lương thực có hạt </t>
  </si>
  <si>
    <t>Tấn</t>
  </si>
  <si>
    <r>
      <t xml:space="preserve"> Diện tích cây chè </t>
    </r>
    <r>
      <rPr>
        <b/>
        <vertAlign val="superscript"/>
        <sz val="12"/>
        <rFont val="Times New Roman"/>
        <family val="1"/>
      </rPr>
      <t>(1)</t>
    </r>
  </si>
  <si>
    <t>Ha</t>
  </si>
  <si>
    <t>Trong đó : Diện tích trồng mới</t>
  </si>
  <si>
    <t xml:space="preserve">Tỷ lệ che phủ rừng </t>
  </si>
  <si>
    <r>
      <t xml:space="preserve">Số xã đạt chuẩn nông thôn mới </t>
    </r>
    <r>
      <rPr>
        <b/>
        <vertAlign val="superscript"/>
        <sz val="12"/>
        <rFont val="Times New Roman"/>
        <family val="1"/>
      </rPr>
      <t>(2)</t>
    </r>
  </si>
  <si>
    <t>Trong đó: Số xã đạt chuẩn nông thôn mới trong năm</t>
  </si>
  <si>
    <t>xã</t>
  </si>
  <si>
    <t>Tỷ lệ xã đạt chuẩn nông thôn mới</t>
  </si>
  <si>
    <t>35-40%</t>
  </si>
  <si>
    <t>Thu NSNN trên địa bàn</t>
  </si>
  <si>
    <t>Tỷ đồng</t>
  </si>
  <si>
    <t xml:space="preserve">Giá trị xuất khẩu hàng địa phương </t>
  </si>
  <si>
    <t>Triệu USD</t>
  </si>
  <si>
    <t xml:space="preserve"> CHỈ TIÊU XÃ HỘI </t>
  </si>
  <si>
    <t>Hạ tầng giao thông, cấp điện, cấp nước</t>
  </si>
  <si>
    <t xml:space="preserve"> - Số xã có đường ô tô đến trung tâm xã mặt đường được cứng hóa</t>
  </si>
  <si>
    <t xml:space="preserve"> - Tỷ lệ xã có đường ô tô đến trung tâm xã, mặt đường được cứng hóa</t>
  </si>
  <si>
    <t xml:space="preserve"> - Tỷ lệ thôn, bản có đường xe máy, ô tô đi lại thuận lợi</t>
  </si>
  <si>
    <t>&gt;  90,0</t>
  </si>
  <si>
    <t xml:space="preserve"> - Tỷ lệ hộ được sử dụng điện lưới quốc gia </t>
  </si>
  <si>
    <t>&gt; 95,0</t>
  </si>
  <si>
    <t xml:space="preserve"> - Tỷ lệ dân số đô thị được sử dụng nước sạch</t>
  </si>
  <si>
    <t xml:space="preserve"> - Tỷ lệ dân số nông thôn được sử dụng nước hợp vệ sinh</t>
  </si>
  <si>
    <t>&gt;85,0</t>
  </si>
  <si>
    <t xml:space="preserve">Giáo dục </t>
  </si>
  <si>
    <t xml:space="preserve"> - Giữ vững và nâng cao chất lượng phổ cập giáo dục mầm non cho trẻ 5 tuổi, phổ cập giáo dục tiểu học đúng độ tuổi, phổ cập giáo dục trung học cơ sở</t>
  </si>
  <si>
    <t xml:space="preserve"> - Tỷ lệ trường đạt chuẩn quốc gia</t>
  </si>
  <si>
    <t>Trong đó: + Cấp mầm non</t>
  </si>
  <si>
    <t xml:space="preserve">                + Cấp Tiểu học</t>
  </si>
  <si>
    <t xml:space="preserve">                + Cấp Trung học cơ sở</t>
  </si>
  <si>
    <t xml:space="preserve">                + Cấp Trung học phổ thông</t>
  </si>
  <si>
    <t>- Số trường được công nhận trong năm</t>
  </si>
  <si>
    <t>Trường</t>
  </si>
  <si>
    <t xml:space="preserve">Y tế </t>
  </si>
  <si>
    <t xml:space="preserve"> - Số xã đạt tiêu chí quốc gia về y tế</t>
  </si>
  <si>
    <t xml:space="preserve"> - Tỷ lệ xã đạt tiêu chí quốc gia về y tế</t>
  </si>
  <si>
    <t>&gt; 70%</t>
  </si>
  <si>
    <t xml:space="preserve"> - Số bác sỹ trên vạn dân</t>
  </si>
  <si>
    <t>1/10000</t>
  </si>
  <si>
    <t xml:space="preserve"> - Tỷ lệ giảm sinh bình quân</t>
  </si>
  <si>
    <t>0,5/năm</t>
  </si>
  <si>
    <t>Tỷ lệ trẻ em dưới 5 tuổi bị suy dinh dưỡng (cân nặng theo tuổi)</t>
  </si>
  <si>
    <t>&lt; 20,0%</t>
  </si>
  <si>
    <t xml:space="preserve">Giảm nghèo </t>
  </si>
  <si>
    <t xml:space="preserve"> - Mức giảm tỷ lệ hộ nghèo</t>
  </si>
  <si>
    <t>3-4%/năm</t>
  </si>
  <si>
    <t xml:space="preserve"> +Riêng các huyện nghèo</t>
  </si>
  <si>
    <t xml:space="preserve"> - Số lao động được giải quyết việc làm trong năm</t>
  </si>
  <si>
    <t>&gt; 7000/năm</t>
  </si>
  <si>
    <t xml:space="preserve"> - Số lao động được đào tạo nghề trong năm</t>
  </si>
  <si>
    <t>&gt; 6000/năm</t>
  </si>
  <si>
    <t xml:space="preserve"> - Tỷ lệ lao động qua đào tạo</t>
  </si>
  <si>
    <t>&gt; 50,0%</t>
  </si>
  <si>
    <t xml:space="preserve">Văn hóa </t>
  </si>
  <si>
    <t xml:space="preserve"> - Tỷ lệ hộ gia đình đạt tiêu chuẩn văn hóa</t>
  </si>
  <si>
    <t xml:space="preserve"> - Tỷ lệ thôn, bản, khu phố đạt tiêu chuẩn văn hóa</t>
  </si>
  <si>
    <t xml:space="preserve"> - Tỷ lệ cơ quan, đơn vị, trường học đạt tiêu chuẩn văn hóa</t>
  </si>
  <si>
    <t>chị thủy</t>
  </si>
  <si>
    <t xml:space="preserve">Tỷ lệ tăng do sáp nhập xã </t>
  </si>
  <si>
    <t>Đạt và vượt</t>
  </si>
  <si>
    <t>Đạt</t>
  </si>
  <si>
    <t xml:space="preserve">Đạt </t>
  </si>
  <si>
    <t xml:space="preserve">Ước TH 6 tháng năm 2020/TH 6 tháng năm 2019 </t>
  </si>
  <si>
    <t>Ước TH 6 tháng năm 2020/KH năm 2022</t>
  </si>
  <si>
    <t>Ước TH năm 2020/KH năm 2020</t>
  </si>
  <si>
    <t>&gt;70</t>
  </si>
  <si>
    <t>&lt;20%</t>
  </si>
  <si>
    <t>Tỷ lệ xã có bác sỹ làm việc (bao gồm cả bác sỹ làm việc định kỳ)</t>
  </si>
  <si>
    <t>Số giường bệnh tư nhân/vạn dân</t>
  </si>
  <si>
    <t xml:space="preserve">Không đạt </t>
  </si>
  <si>
    <t>Không đạt</t>
  </si>
  <si>
    <t xml:space="preserve">Do không xây dựng được BV Sản-Nhi, BV phục hồi chức năng và BV tâm thần </t>
  </si>
  <si>
    <t>Do phòng khám tư nhân không có giường bệnh mà chỉ giường lưu bệnh nhân</t>
  </si>
  <si>
    <t xml:space="preserve">Đạt và vượt </t>
  </si>
  <si>
    <t xml:space="preserve">Năm 2018 Bộ Y tế chuyển đổi thay thế một số loại vắc xin cụ như vắc xin Quivaxem (Bạch hầu-Uốn ván-Ho gà-VGB-Hib) do nhà sản xuất Hàn Quốc không cung cấp, do đó từ tháng 9 năm 2018 đến tháng 5 năm 2019 thiếu vác xin để tiêm cho trẻ (thiếu từ Trung ương). Đến năm 2020 do ảnh hưởng của dịch Covid-19 Ngày 31/3/2020 của Viện Vệ sinh Dịch tễ Trung ương có Văn bản số 396/VVSDTTW-TCQG v/v tạm dừng tiêm chủng thường xuyên 15 ngày trong bối cảnh dịch Covid-19. </t>
  </si>
  <si>
    <t>6 tháng năm trước</t>
  </si>
  <si>
    <t>KHÁM CHỮA BỆNH CHUNG 6 THÁNG NĂM 2020</t>
  </si>
  <si>
    <t>ĐƠN VỊ</t>
  </si>
  <si>
    <t>GIƯỜNG BỆNH</t>
  </si>
  <si>
    <t>KHÁM CHỮA BỆNH CHUNG</t>
  </si>
  <si>
    <t>Số ngày điều trị nội trú</t>
  </si>
  <si>
    <t>TỔNG SỐ LẦN KHÁM BỆNH</t>
  </si>
  <si>
    <t>ĐIỀU TRỊ NỘI TRÚ</t>
  </si>
  <si>
    <t>ĐIỀU TRỊ NGOẠI TRÚ</t>
  </si>
  <si>
    <t>KH</t>
  </si>
  <si>
    <t>TK</t>
  </si>
  <si>
    <t xml:space="preserve">TH </t>
  </si>
  <si>
    <t>Trong đó</t>
  </si>
  <si>
    <t>Tổng cộng (I+II)</t>
  </si>
  <si>
    <t>Tuyến tỉnh</t>
  </si>
  <si>
    <t>BVĐK tỉnh</t>
  </si>
  <si>
    <t>BV LP</t>
  </si>
  <si>
    <t>BV YHCT</t>
  </si>
  <si>
    <t>Tuyến huyện</t>
  </si>
  <si>
    <t>TTYT Mường Tè</t>
  </si>
  <si>
    <t>TTYT Sìn Hồ</t>
  </si>
  <si>
    <t>TTYT Phong Thổ</t>
  </si>
  <si>
    <t>TTYT Tam Đường</t>
  </si>
  <si>
    <t>TTYT Than Uyên</t>
  </si>
  <si>
    <t>TTYT Tân Uyên</t>
  </si>
  <si>
    <t>TTYT Nậm Nhùn</t>
  </si>
  <si>
    <t>KHÁM CHỮA BỆNH NGƯỜI NGHÈO 6 THÁNG NĂM 2020</t>
  </si>
  <si>
    <t>KHÁM, CHỮA BỆNH NGƯỜI NGHÈO</t>
  </si>
  <si>
    <t>CÔNG SUẤT SỬ DỤNG GB</t>
  </si>
  <si>
    <t>TỔNG SỐ LẦN KHÁM BỆNH NN</t>
  </si>
  <si>
    <t>ĐIỀU TRỊ NỘI TRÚ NN</t>
  </si>
  <si>
    <t>ĐIỀU TRỊ NGOẠI TRÚ NN</t>
  </si>
  <si>
    <t>KHÁM CHỮA BỆNH TRẺ EM &lt; 6 TUỔI 6 THÁNG NĂM 2020</t>
  </si>
  <si>
    <t>KHÁM, CHỮA BỆNH TRẺ EM &lt; 6 TUỔI</t>
  </si>
  <si>
    <t>TỔNG SỐ LẦN KHÁM BỆNH TE &lt; 6 TUỔI</t>
  </si>
  <si>
    <t>ĐIỀU TRỊ NỘI TRÚ TE &lt; 6 TUỔI</t>
  </si>
  <si>
    <t>ĐIỀU TRỊ NGOẠI TRÚ TE &lt; 6 TUỔI</t>
  </si>
  <si>
    <t xml:space="preserve">Công suất sử dụng giường bệnh </t>
  </si>
  <si>
    <t xml:space="preserve">Đạt % </t>
  </si>
  <si>
    <t>Cùng kỳ năm 2019</t>
  </si>
  <si>
    <t>Đạt %</t>
  </si>
  <si>
    <t>TTYT Thành Phố</t>
  </si>
  <si>
    <t>TTYT Thành phố</t>
  </si>
  <si>
    <t xml:space="preserve">Trung tâm KSBT tỉnh </t>
  </si>
  <si>
    <t xml:space="preserve"> TH 6 tháng đầu năm</t>
  </si>
  <si>
    <t xml:space="preserve">TH 6 tháng năm 2020/TH 3,6,9 tháng năm trước </t>
  </si>
  <si>
    <t>TH 6 tháng năm 2020/KH năm 2020</t>
  </si>
  <si>
    <t>Đầu năm mẫu số nhỏ do đó tỷ lệ này sẽ cao</t>
  </si>
</sst>
</file>

<file path=xl/styles.xml><?xml version="1.0" encoding="utf-8"?>
<styleSheet xmlns="http://schemas.openxmlformats.org/spreadsheetml/2006/main">
  <numFmts count="11">
    <numFmt numFmtId="43" formatCode="_-* #,##0.00\ _₫_-;\-* #,##0.00\ _₫_-;_-* &quot;-&quot;??\ _₫_-;_-@_-"/>
    <numFmt numFmtId="164" formatCode="0.0"/>
    <numFmt numFmtId="165" formatCode="_-* #,##0\ _₫_-;\-* #,##0\ _₫_-;_-* &quot;-&quot;??\ _₫_-;_-@_-"/>
    <numFmt numFmtId="166" formatCode="_-* #,##0.0\ _₫_-;\-* #,##0.0\ _₫_-;_-* &quot;-&quot;??\ _₫_-;_-@_-"/>
    <numFmt numFmtId="167" formatCode="_-* #,##0.00\ _₫_-;\-* #,##0.00\ _₫_-;_-* &quot;-&quot;?\ _₫_-;_-@_-"/>
    <numFmt numFmtId="168" formatCode="0.000"/>
    <numFmt numFmtId="169" formatCode="#,##0;[Red]#,##0"/>
    <numFmt numFmtId="170" formatCode="_(* #,##0.00_);_(* \(#,##0.00\);_(* &quot;-&quot;??_);_(@_)"/>
    <numFmt numFmtId="171" formatCode="_(* #,##0.0_);_(* \(#,##0.0\);_(* &quot;-&quot;??_);_(@_)"/>
    <numFmt numFmtId="172" formatCode="_(* #,##0_);_(* \(#,##0\);_(* &quot;-&quot;??_);_(@_)"/>
    <numFmt numFmtId="173" formatCode="#,##0.0"/>
  </numFmts>
  <fonts count="68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2"/>
      <name val=".VnTim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  <charset val="163"/>
    </font>
    <font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1"/>
      <name val="Times New Roman"/>
      <family val="1"/>
      <charset val="163"/>
    </font>
    <font>
      <i/>
      <sz val="10"/>
      <name val="Times New Roman"/>
      <family val="1"/>
      <charset val="163"/>
    </font>
    <font>
      <b/>
      <i/>
      <sz val="10"/>
      <name val="Times New Roman"/>
      <family val="1"/>
      <charset val="163"/>
    </font>
    <font>
      <sz val="10"/>
      <name val="Arial"/>
      <family val="2"/>
      <charset val="163"/>
    </font>
    <font>
      <i/>
      <sz val="12"/>
      <name val="Times New Roman"/>
      <family val="1"/>
    </font>
    <font>
      <b/>
      <sz val="8"/>
      <name val="Times New Roman"/>
      <family val="1"/>
      <charset val="163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0"/>
      <color theme="1"/>
      <name val="Times New Roman"/>
      <family val="1"/>
      <charset val="163"/>
    </font>
    <font>
      <sz val="10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2"/>
      <charset val="163"/>
    </font>
    <font>
      <i/>
      <sz val="6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rgb="FF0070C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9"/>
      <name val="Times New Roman"/>
      <family val="1"/>
    </font>
    <font>
      <b/>
      <i/>
      <sz val="12"/>
      <name val=".VnTime"/>
      <family val="2"/>
    </font>
    <font>
      <b/>
      <sz val="9"/>
      <name val="Times New Roman"/>
      <family val="1"/>
    </font>
    <font>
      <b/>
      <sz val="12"/>
      <name val=".VnTime"/>
      <family val="2"/>
    </font>
    <font>
      <i/>
      <sz val="8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color rgb="FFFF0000"/>
      <name val="Times New Roman"/>
      <family val="1"/>
    </font>
    <font>
      <sz val="6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</font>
    <font>
      <sz val="9"/>
      <color indexed="81"/>
      <name val="Tahoma"/>
    </font>
    <font>
      <sz val="10"/>
      <name val="Calibri"/>
      <family val="2"/>
      <charset val="163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  <charset val="163"/>
    </font>
    <font>
      <sz val="9"/>
      <name val="Cambria"/>
      <family val="1"/>
      <charset val="163"/>
      <scheme val="major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" fontId="2" fillId="0" borderId="0"/>
    <xf numFmtId="0" fontId="2" fillId="0" borderId="0"/>
    <xf numFmtId="43" fontId="17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564">
    <xf numFmtId="0" fontId="0" fillId="0" borderId="0" xfId="0"/>
    <xf numFmtId="0" fontId="3" fillId="2" borderId="0" xfId="0" applyFont="1" applyFill="1"/>
    <xf numFmtId="1" fontId="8" fillId="2" borderId="0" xfId="3" applyFont="1" applyFill="1"/>
    <xf numFmtId="0" fontId="8" fillId="2" borderId="0" xfId="1" applyNumberFormat="1" applyFont="1" applyFill="1"/>
    <xf numFmtId="0" fontId="8" fillId="2" borderId="0" xfId="1" applyNumberFormat="1" applyFont="1" applyFill="1" applyAlignment="1">
      <alignment horizontal="center"/>
    </xf>
    <xf numFmtId="0" fontId="9" fillId="2" borderId="0" xfId="1" applyNumberFormat="1" applyFont="1" applyFill="1"/>
    <xf numFmtId="1" fontId="6" fillId="2" borderId="0" xfId="3" applyFont="1" applyFill="1"/>
    <xf numFmtId="0" fontId="10" fillId="2" borderId="0" xfId="0" applyFont="1" applyFill="1"/>
    <xf numFmtId="0" fontId="12" fillId="2" borderId="1" xfId="1" applyNumberFormat="1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/>
    </xf>
    <xf numFmtId="0" fontId="10" fillId="2" borderId="1" xfId="1" applyNumberFormat="1" applyFont="1" applyFill="1" applyBorder="1" applyAlignment="1">
      <alignment horizontal="center"/>
    </xf>
    <xf numFmtId="0" fontId="15" fillId="2" borderId="1" xfId="1" applyNumberFormat="1" applyFont="1" applyFill="1" applyBorder="1" applyAlignment="1">
      <alignment horizontal="center"/>
    </xf>
    <xf numFmtId="0" fontId="12" fillId="2" borderId="4" xfId="4" applyFont="1" applyFill="1" applyBorder="1" applyAlignment="1">
      <alignment horizontal="center"/>
    </xf>
    <xf numFmtId="3" fontId="12" fillId="2" borderId="4" xfId="1" applyNumberFormat="1" applyFont="1" applyFill="1" applyBorder="1" applyAlignment="1">
      <alignment horizontal="center"/>
    </xf>
    <xf numFmtId="165" fontId="12" fillId="2" borderId="4" xfId="1" applyNumberFormat="1" applyFont="1" applyFill="1" applyBorder="1" applyAlignment="1">
      <alignment horizontal="center"/>
    </xf>
    <xf numFmtId="0" fontId="16" fillId="2" borderId="4" xfId="1" applyNumberFormat="1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43" fontId="10" fillId="2" borderId="0" xfId="0" applyNumberFormat="1" applyFont="1" applyFill="1"/>
    <xf numFmtId="0" fontId="12" fillId="2" borderId="1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vertical="center" wrapText="1"/>
    </xf>
    <xf numFmtId="0" fontId="3" fillId="2" borderId="5" xfId="1" applyNumberFormat="1" applyFont="1" applyFill="1" applyBorder="1" applyAlignment="1">
      <alignment horizontal="right" vertical="center"/>
    </xf>
    <xf numFmtId="0" fontId="3" fillId="2" borderId="5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0" fontId="13" fillId="2" borderId="5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vertical="center" wrapText="1"/>
    </xf>
    <xf numFmtId="0" fontId="3" fillId="2" borderId="6" xfId="1" applyNumberFormat="1" applyFont="1" applyFill="1" applyBorder="1" applyAlignment="1">
      <alignment horizontal="right" vertical="center"/>
    </xf>
    <xf numFmtId="0" fontId="3" fillId="2" borderId="6" xfId="1" applyNumberFormat="1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 wrapText="1"/>
    </xf>
    <xf numFmtId="0" fontId="12" fillId="2" borderId="6" xfId="4" applyFont="1" applyFill="1" applyBorder="1" applyAlignment="1">
      <alignment horizontal="center" vertical="center" wrapText="1"/>
    </xf>
    <xf numFmtId="0" fontId="13" fillId="2" borderId="6" xfId="4" applyFont="1" applyFill="1" applyBorder="1" applyAlignment="1">
      <alignment vertical="center" wrapText="1"/>
    </xf>
    <xf numFmtId="0" fontId="13" fillId="2" borderId="7" xfId="4" applyFont="1" applyFill="1" applyBorder="1" applyAlignment="1">
      <alignment vertical="center" wrapText="1"/>
    </xf>
    <xf numFmtId="0" fontId="6" fillId="2" borderId="6" xfId="4" applyFont="1" applyFill="1" applyBorder="1" applyAlignment="1">
      <alignment vertical="center" wrapText="1"/>
    </xf>
    <xf numFmtId="0" fontId="6" fillId="2" borderId="7" xfId="4" applyFont="1" applyFill="1" applyBorder="1" applyAlignment="1">
      <alignment vertical="center" wrapText="1"/>
    </xf>
    <xf numFmtId="165" fontId="10" fillId="2" borderId="6" xfId="1" quotePrefix="1" applyNumberFormat="1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vertical="center" wrapText="1"/>
    </xf>
    <xf numFmtId="0" fontId="4" fillId="2" borderId="6" xfId="1" applyNumberFormat="1" applyFont="1" applyFill="1" applyBorder="1" applyAlignment="1">
      <alignment horizontal="center" vertical="center"/>
    </xf>
    <xf numFmtId="2" fontId="3" fillId="2" borderId="6" xfId="1" applyNumberFormat="1" applyFont="1" applyFill="1" applyBorder="1" applyAlignment="1">
      <alignment horizontal="center" vertical="center" wrapText="1"/>
    </xf>
    <xf numFmtId="167" fontId="15" fillId="2" borderId="6" xfId="1" applyNumberFormat="1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vertical="center" wrapText="1"/>
    </xf>
    <xf numFmtId="0" fontId="15" fillId="2" borderId="0" xfId="0" applyFont="1" applyFill="1"/>
    <xf numFmtId="2" fontId="15" fillId="2" borderId="8" xfId="1" applyNumberFormat="1" applyFont="1" applyFill="1" applyBorder="1" applyAlignment="1">
      <alignment horizontal="center" vertical="center" wrapText="1"/>
    </xf>
    <xf numFmtId="0" fontId="10" fillId="2" borderId="0" xfId="1" applyNumberFormat="1" applyFont="1" applyFill="1"/>
    <xf numFmtId="0" fontId="10" fillId="2" borderId="0" xfId="1" applyNumberFormat="1" applyFont="1" applyFill="1" applyAlignment="1">
      <alignment horizontal="center"/>
    </xf>
    <xf numFmtId="0" fontId="15" fillId="2" borderId="0" xfId="1" applyNumberFormat="1" applyFont="1" applyFill="1"/>
    <xf numFmtId="0" fontId="15" fillId="2" borderId="8" xfId="4" applyFont="1" applyFill="1" applyBorder="1" applyAlignment="1">
      <alignment horizontal="center" vertical="center" wrapText="1"/>
    </xf>
    <xf numFmtId="0" fontId="15" fillId="2" borderId="8" xfId="4" applyFont="1" applyFill="1" applyBorder="1" applyAlignment="1">
      <alignment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6" fontId="3" fillId="2" borderId="8" xfId="1" applyNumberFormat="1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8" fillId="2" borderId="0" xfId="0" applyFont="1" applyFill="1"/>
    <xf numFmtId="0" fontId="19" fillId="2" borderId="1" xfId="4" applyFont="1" applyFill="1" applyBorder="1" applyAlignment="1">
      <alignment horizontal="center" vertical="center" wrapText="1"/>
    </xf>
    <xf numFmtId="0" fontId="10" fillId="2" borderId="14" xfId="4" applyFont="1" applyFill="1" applyBorder="1" applyAlignment="1">
      <alignment horizontal="center" vertical="center" wrapText="1"/>
    </xf>
    <xf numFmtId="0" fontId="10" fillId="2" borderId="15" xfId="4" applyFont="1" applyFill="1" applyBorder="1" applyAlignment="1">
      <alignment horizontal="center" vertical="center" wrapText="1"/>
    </xf>
    <xf numFmtId="0" fontId="10" fillId="2" borderId="16" xfId="4" applyFont="1" applyFill="1" applyBorder="1" applyAlignment="1">
      <alignment horizontal="center" vertical="center" wrapText="1"/>
    </xf>
    <xf numFmtId="0" fontId="20" fillId="3" borderId="6" xfId="0" applyFont="1" applyFill="1" applyBorder="1"/>
    <xf numFmtId="0" fontId="21" fillId="3" borderId="6" xfId="0" applyFont="1" applyFill="1" applyBorder="1" applyAlignment="1">
      <alignment wrapText="1"/>
    </xf>
    <xf numFmtId="0" fontId="21" fillId="3" borderId="6" xfId="0" applyFont="1" applyFill="1" applyBorder="1" applyAlignment="1">
      <alignment horizontal="center"/>
    </xf>
    <xf numFmtId="0" fontId="12" fillId="2" borderId="4" xfId="4" applyFont="1" applyFill="1" applyBorder="1" applyAlignment="1">
      <alignment horizontal="left"/>
    </xf>
    <xf numFmtId="0" fontId="10" fillId="2" borderId="17" xfId="4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wrapText="1"/>
    </xf>
    <xf numFmtId="0" fontId="21" fillId="3" borderId="18" xfId="0" applyFont="1" applyFill="1" applyBorder="1" applyAlignment="1">
      <alignment horizontal="center"/>
    </xf>
    <xf numFmtId="0" fontId="10" fillId="2" borderId="18" xfId="4" applyFont="1" applyFill="1" applyBorder="1" applyAlignment="1">
      <alignment horizontal="center" vertical="center" wrapText="1"/>
    </xf>
    <xf numFmtId="0" fontId="12" fillId="2" borderId="18" xfId="4" applyFont="1" applyFill="1" applyBorder="1" applyAlignment="1">
      <alignment horizontal="center" vertical="center" wrapText="1"/>
    </xf>
    <xf numFmtId="0" fontId="6" fillId="2" borderId="16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wrapText="1"/>
    </xf>
    <xf numFmtId="0" fontId="21" fillId="3" borderId="6" xfId="0" applyFont="1" applyFill="1" applyBorder="1" applyAlignment="1">
      <alignment horizontal="center" wrapText="1"/>
    </xf>
    <xf numFmtId="0" fontId="22" fillId="3" borderId="6" xfId="0" applyFont="1" applyFill="1" applyBorder="1" applyAlignment="1">
      <alignment horizontal="center" wrapText="1"/>
    </xf>
    <xf numFmtId="0" fontId="22" fillId="0" borderId="6" xfId="0" applyFont="1" applyBorder="1"/>
    <xf numFmtId="0" fontId="22" fillId="3" borderId="6" xfId="0" applyFont="1" applyFill="1" applyBorder="1" applyAlignment="1">
      <alignment wrapText="1"/>
    </xf>
    <xf numFmtId="0" fontId="21" fillId="0" borderId="6" xfId="0" applyFont="1" applyBorder="1"/>
    <xf numFmtId="0" fontId="22" fillId="3" borderId="6" xfId="0" applyFont="1" applyFill="1" applyBorder="1" applyAlignment="1">
      <alignment horizontal="justify" wrapText="1"/>
    </xf>
    <xf numFmtId="0" fontId="24" fillId="3" borderId="6" xfId="0" applyFont="1" applyFill="1" applyBorder="1" applyAlignment="1">
      <alignment horizontal="center" wrapText="1"/>
    </xf>
    <xf numFmtId="0" fontId="22" fillId="3" borderId="6" xfId="0" applyFont="1" applyFill="1" applyBorder="1"/>
    <xf numFmtId="0" fontId="22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wrapText="1"/>
    </xf>
    <xf numFmtId="0" fontId="20" fillId="3" borderId="5" xfId="0" applyFont="1" applyFill="1" applyBorder="1" applyAlignment="1">
      <alignment horizontal="center" wrapText="1"/>
    </xf>
    <xf numFmtId="0" fontId="20" fillId="3" borderId="5" xfId="0" applyFont="1" applyFill="1" applyBorder="1" applyAlignment="1">
      <alignment wrapText="1"/>
    </xf>
    <xf numFmtId="0" fontId="21" fillId="3" borderId="8" xfId="0" applyFont="1" applyFill="1" applyBorder="1" applyAlignment="1">
      <alignment wrapText="1"/>
    </xf>
    <xf numFmtId="0" fontId="21" fillId="3" borderId="8" xfId="0" applyFont="1" applyFill="1" applyBorder="1" applyAlignment="1">
      <alignment horizontal="center" wrapText="1"/>
    </xf>
    <xf numFmtId="0" fontId="20" fillId="3" borderId="5" xfId="0" applyFont="1" applyFill="1" applyBorder="1"/>
    <xf numFmtId="0" fontId="21" fillId="3" borderId="5" xfId="0" applyFont="1" applyFill="1" applyBorder="1"/>
    <xf numFmtId="0" fontId="22" fillId="3" borderId="6" xfId="0" quotePrefix="1" applyFont="1" applyFill="1" applyBorder="1" applyAlignment="1">
      <alignment wrapText="1"/>
    </xf>
    <xf numFmtId="43" fontId="10" fillId="2" borderId="7" xfId="1" applyFont="1" applyFill="1" applyBorder="1" applyAlignment="1">
      <alignment horizontal="center" vertical="center" wrapText="1"/>
    </xf>
    <xf numFmtId="43" fontId="10" fillId="2" borderId="7" xfId="4" applyNumberFormat="1" applyFont="1" applyFill="1" applyBorder="1" applyAlignment="1">
      <alignment horizontal="center" vertical="center" wrapText="1"/>
    </xf>
    <xf numFmtId="0" fontId="22" fillId="0" borderId="6" xfId="0" quotePrefix="1" applyFont="1" applyBorder="1"/>
    <xf numFmtId="165" fontId="10" fillId="2" borderId="7" xfId="1" applyNumberFormat="1" applyFont="1" applyFill="1" applyBorder="1" applyAlignment="1">
      <alignment horizontal="center" vertical="center" wrapText="1"/>
    </xf>
    <xf numFmtId="43" fontId="10" fillId="2" borderId="7" xfId="1" applyNumberFormat="1" applyFont="1" applyFill="1" applyBorder="1" applyAlignment="1">
      <alignment horizontal="center" vertical="center" wrapText="1"/>
    </xf>
    <xf numFmtId="0" fontId="10" fillId="2" borderId="19" xfId="4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wrapText="1"/>
    </xf>
    <xf numFmtId="0" fontId="22" fillId="3" borderId="15" xfId="0" applyFont="1" applyFill="1" applyBorder="1" applyAlignment="1">
      <alignment horizontal="center" wrapText="1"/>
    </xf>
    <xf numFmtId="43" fontId="10" fillId="2" borderId="16" xfId="1" applyFont="1" applyFill="1" applyBorder="1" applyAlignment="1">
      <alignment horizontal="center" vertical="center" wrapText="1"/>
    </xf>
    <xf numFmtId="43" fontId="10" fillId="2" borderId="6" xfId="1" applyFont="1" applyFill="1" applyBorder="1" applyAlignment="1">
      <alignment vertical="center" wrapText="1"/>
    </xf>
    <xf numFmtId="0" fontId="22" fillId="3" borderId="6" xfId="0" applyFont="1" applyFill="1" applyBorder="1" applyAlignment="1">
      <alignment vertical="center" wrapText="1"/>
    </xf>
    <xf numFmtId="165" fontId="15" fillId="2" borderId="20" xfId="1" applyNumberFormat="1" applyFont="1" applyFill="1" applyBorder="1" applyAlignment="1">
      <alignment horizontal="center" vertical="center" wrapText="1"/>
    </xf>
    <xf numFmtId="165" fontId="10" fillId="2" borderId="6" xfId="1" applyNumberFormat="1" applyFont="1" applyFill="1" applyBorder="1" applyAlignment="1">
      <alignment vertical="center" wrapText="1"/>
    </xf>
    <xf numFmtId="165" fontId="10" fillId="2" borderId="6" xfId="1" applyNumberFormat="1" applyFont="1" applyFill="1" applyBorder="1" applyAlignment="1">
      <alignment horizontal="center" vertical="center" wrapText="1"/>
    </xf>
    <xf numFmtId="165" fontId="10" fillId="2" borderId="7" xfId="1" applyNumberFormat="1" applyFont="1" applyFill="1" applyBorder="1" applyAlignment="1">
      <alignment vertical="center" wrapText="1"/>
    </xf>
    <xf numFmtId="43" fontId="10" fillId="2" borderId="7" xfId="1" applyFont="1" applyFill="1" applyBorder="1" applyAlignment="1">
      <alignment vertical="center" wrapText="1"/>
    </xf>
    <xf numFmtId="43" fontId="10" fillId="2" borderId="7" xfId="4" applyNumberFormat="1" applyFont="1" applyFill="1" applyBorder="1" applyAlignment="1">
      <alignment vertical="center" wrapText="1"/>
    </xf>
    <xf numFmtId="43" fontId="10" fillId="2" borderId="16" xfId="1" applyFont="1" applyFill="1" applyBorder="1" applyAlignment="1">
      <alignment vertical="center" wrapText="1"/>
    </xf>
    <xf numFmtId="164" fontId="11" fillId="2" borderId="0" xfId="3" applyNumberFormat="1" applyFont="1" applyFill="1" applyBorder="1" applyAlignment="1">
      <alignment wrapText="1"/>
    </xf>
    <xf numFmtId="1" fontId="18" fillId="2" borderId="10" xfId="3" applyFont="1" applyFill="1" applyBorder="1" applyAlignment="1"/>
    <xf numFmtId="0" fontId="10" fillId="2" borderId="15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/>
    </xf>
    <xf numFmtId="0" fontId="10" fillId="2" borderId="15" xfId="4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/>
    </xf>
    <xf numFmtId="166" fontId="3" fillId="2" borderId="6" xfId="1" applyNumberFormat="1" applyFont="1" applyFill="1" applyBorder="1" applyAlignment="1">
      <alignment horizontal="center" vertical="center"/>
    </xf>
    <xf numFmtId="165" fontId="3" fillId="2" borderId="6" xfId="1" applyNumberFormat="1" applyFont="1" applyFill="1" applyBorder="1" applyAlignment="1">
      <alignment horizontal="center" vertical="center"/>
    </xf>
    <xf numFmtId="43" fontId="3" fillId="2" borderId="6" xfId="1" applyNumberFormat="1" applyFont="1" applyFill="1" applyBorder="1" applyAlignment="1">
      <alignment horizontal="center" vertical="center"/>
    </xf>
    <xf numFmtId="43" fontId="3" fillId="2" borderId="6" xfId="1" quotePrefix="1" applyNumberFormat="1" applyFont="1" applyFill="1" applyBorder="1" applyAlignment="1">
      <alignment horizontal="center" vertical="center"/>
    </xf>
    <xf numFmtId="165" fontId="4" fillId="2" borderId="6" xfId="1" applyNumberFormat="1" applyFont="1" applyFill="1" applyBorder="1" applyAlignment="1">
      <alignment horizontal="center" vertical="center"/>
    </xf>
    <xf numFmtId="166" fontId="4" fillId="2" borderId="6" xfId="1" applyNumberFormat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right" vertical="center"/>
    </xf>
    <xf numFmtId="43" fontId="10" fillId="2" borderId="6" xfId="1" quotePrefix="1" applyFont="1" applyFill="1" applyBorder="1" applyAlignment="1">
      <alignment horizontal="center" vertical="center"/>
    </xf>
    <xf numFmtId="165" fontId="3" fillId="2" borderId="6" xfId="1" applyNumberFormat="1" applyFont="1" applyFill="1" applyBorder="1" applyAlignment="1">
      <alignment horizontal="right" vertical="center"/>
    </xf>
    <xf numFmtId="43" fontId="3" fillId="2" borderId="6" xfId="1" applyNumberFormat="1" applyFont="1" applyFill="1" applyBorder="1" applyAlignment="1">
      <alignment horizontal="right" vertical="center"/>
    </xf>
    <xf numFmtId="43" fontId="10" fillId="2" borderId="19" xfId="1" applyFont="1" applyFill="1" applyBorder="1" applyAlignment="1">
      <alignment horizontal="center" vertical="center" wrapText="1"/>
    </xf>
    <xf numFmtId="43" fontId="10" fillId="2" borderId="19" xfId="1" applyFont="1" applyFill="1" applyBorder="1" applyAlignment="1">
      <alignment vertical="center" wrapText="1"/>
    </xf>
    <xf numFmtId="2" fontId="10" fillId="2" borderId="6" xfId="4" applyNumberFormat="1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2" fontId="15" fillId="2" borderId="6" xfId="4" applyNumberFormat="1" applyFont="1" applyFill="1" applyBorder="1" applyAlignment="1">
      <alignment horizontal="center" vertical="center" wrapText="1"/>
    </xf>
    <xf numFmtId="2" fontId="15" fillId="0" borderId="6" xfId="4" applyNumberFormat="1" applyFont="1" applyFill="1" applyBorder="1" applyAlignment="1">
      <alignment horizontal="center" vertical="center" wrapText="1"/>
    </xf>
    <xf numFmtId="2" fontId="27" fillId="0" borderId="6" xfId="0" applyNumberFormat="1" applyFont="1" applyBorder="1" applyAlignment="1">
      <alignment horizontal="center" vertical="center"/>
    </xf>
    <xf numFmtId="0" fontId="10" fillId="2" borderId="6" xfId="4" applyFont="1" applyFill="1" applyBorder="1" applyAlignment="1">
      <alignment horizontal="center" vertical="center" wrapText="1"/>
    </xf>
    <xf numFmtId="165" fontId="15" fillId="2" borderId="8" xfId="1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/>
    <xf numFmtId="0" fontId="10" fillId="2" borderId="18" xfId="4" applyFont="1" applyFill="1" applyBorder="1" applyAlignment="1">
      <alignment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vertical="center" wrapText="1"/>
    </xf>
    <xf numFmtId="0" fontId="10" fillId="2" borderId="0" xfId="0" applyFont="1" applyFill="1" applyBorder="1"/>
    <xf numFmtId="2" fontId="28" fillId="2" borderId="6" xfId="0" applyNumberFormat="1" applyFont="1" applyFill="1" applyBorder="1" applyAlignment="1">
      <alignment horizontal="center" vertical="center"/>
    </xf>
    <xf numFmtId="1" fontId="28" fillId="2" borderId="6" xfId="0" applyNumberFormat="1" applyFont="1" applyFill="1" applyBorder="1" applyAlignment="1">
      <alignment horizontal="center" vertical="center"/>
    </xf>
    <xf numFmtId="168" fontId="29" fillId="2" borderId="6" xfId="0" applyNumberFormat="1" applyFont="1" applyFill="1" applyBorder="1" applyAlignment="1">
      <alignment horizontal="center" vertical="center"/>
    </xf>
    <xf numFmtId="168" fontId="15" fillId="2" borderId="6" xfId="4" applyNumberFormat="1" applyFont="1" applyFill="1" applyBorder="1" applyAlignment="1">
      <alignment horizontal="center" vertical="center" wrapText="1"/>
    </xf>
    <xf numFmtId="2" fontId="29" fillId="2" borderId="6" xfId="0" applyNumberFormat="1" applyFont="1" applyFill="1" applyBorder="1" applyAlignment="1">
      <alignment horizontal="center" vertical="center"/>
    </xf>
    <xf numFmtId="168" fontId="28" fillId="2" borderId="6" xfId="0" applyNumberFormat="1" applyFont="1" applyFill="1" applyBorder="1"/>
    <xf numFmtId="43" fontId="29" fillId="2" borderId="6" xfId="1" applyFont="1" applyFill="1" applyBorder="1" applyAlignment="1">
      <alignment horizontal="center" vertical="center"/>
    </xf>
    <xf numFmtId="1" fontId="18" fillId="2" borderId="10" xfId="3" applyFont="1" applyFill="1" applyBorder="1" applyAlignment="1">
      <alignment horizontal="center"/>
    </xf>
    <xf numFmtId="0" fontId="10" fillId="2" borderId="6" xfId="4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/>
    </xf>
    <xf numFmtId="2" fontId="28" fillId="0" borderId="5" xfId="0" applyNumberFormat="1" applyFont="1" applyFill="1" applyBorder="1" applyAlignment="1">
      <alignment horizontal="center" vertical="center"/>
    </xf>
    <xf numFmtId="43" fontId="28" fillId="2" borderId="6" xfId="1" applyFont="1" applyFill="1" applyBorder="1" applyAlignment="1">
      <alignment horizontal="center" vertical="center"/>
    </xf>
    <xf numFmtId="2" fontId="32" fillId="0" borderId="6" xfId="0" applyNumberFormat="1" applyFont="1" applyFill="1" applyBorder="1" applyAlignment="1">
      <alignment horizontal="center" vertical="center"/>
    </xf>
    <xf numFmtId="0" fontId="10" fillId="2" borderId="15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1" fontId="18" fillId="2" borderId="10" xfId="3" applyFont="1" applyFill="1" applyBorder="1" applyAlignment="1">
      <alignment horizontal="center"/>
    </xf>
    <xf numFmtId="0" fontId="12" fillId="2" borderId="1" xfId="1" applyNumberFormat="1" applyFont="1" applyFill="1" applyBorder="1" applyAlignment="1">
      <alignment horizontal="center" vertical="center" wrapText="1"/>
    </xf>
    <xf numFmtId="1" fontId="18" fillId="2" borderId="0" xfId="3" applyFont="1" applyFill="1" applyBorder="1" applyAlignment="1"/>
    <xf numFmtId="43" fontId="10" fillId="2" borderId="0" xfId="1" applyFont="1" applyFill="1"/>
    <xf numFmtId="0" fontId="33" fillId="3" borderId="6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vertical="center" wrapText="1"/>
    </xf>
    <xf numFmtId="0" fontId="21" fillId="3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vertical="center"/>
    </xf>
    <xf numFmtId="0" fontId="22" fillId="0" borderId="6" xfId="0" quotePrefix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2" fillId="3" borderId="6" xfId="0" quotePrefix="1" applyFont="1" applyFill="1" applyBorder="1" applyAlignment="1">
      <alignment vertical="center" wrapText="1"/>
    </xf>
    <xf numFmtId="0" fontId="22" fillId="3" borderId="6" xfId="0" applyFont="1" applyFill="1" applyBorder="1" applyAlignment="1">
      <alignment horizontal="justify" vertical="center" wrapText="1"/>
    </xf>
    <xf numFmtId="0" fontId="20" fillId="3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1" fillId="3" borderId="8" xfId="0" applyFont="1" applyFill="1" applyBorder="1" applyAlignment="1">
      <alignment vertical="center" wrapText="1"/>
    </xf>
    <xf numFmtId="0" fontId="10" fillId="2" borderId="15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1" fontId="18" fillId="2" borderId="10" xfId="3" applyFont="1" applyFill="1" applyBorder="1" applyAlignment="1">
      <alignment horizont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35" fillId="0" borderId="0" xfId="0" applyNumberFormat="1" applyFont="1" applyFill="1" applyBorder="1" applyAlignment="1">
      <alignment horizontal="center"/>
    </xf>
    <xf numFmtId="164" fontId="36" fillId="0" borderId="0" xfId="0" applyNumberFormat="1" applyFont="1" applyBorder="1" applyAlignment="1"/>
    <xf numFmtId="164" fontId="36" fillId="0" borderId="0" xfId="0" applyNumberFormat="1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38" fillId="0" borderId="0" xfId="0" applyFont="1" applyFill="1"/>
    <xf numFmtId="3" fontId="39" fillId="0" borderId="0" xfId="6" applyNumberFormat="1" applyFont="1" applyAlignment="1"/>
    <xf numFmtId="164" fontId="41" fillId="0" borderId="0" xfId="0" applyNumberFormat="1" applyFont="1" applyBorder="1" applyAlignment="1"/>
    <xf numFmtId="0" fontId="38" fillId="0" borderId="0" xfId="0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center" wrapText="1"/>
    </xf>
    <xf numFmtId="164" fontId="3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 wrapText="1"/>
    </xf>
    <xf numFmtId="1" fontId="34" fillId="0" borderId="2" xfId="0" applyNumberFormat="1" applyFont="1" applyFill="1" applyBorder="1" applyAlignment="1">
      <alignment horizontal="center" vertical="center" wrapText="1"/>
    </xf>
    <xf numFmtId="169" fontId="35" fillId="0" borderId="34" xfId="0" applyNumberFormat="1" applyFont="1" applyFill="1" applyBorder="1" applyAlignment="1">
      <alignment horizontal="center" vertical="center" wrapText="1"/>
    </xf>
    <xf numFmtId="169" fontId="38" fillId="0" borderId="0" xfId="0" applyNumberFormat="1" applyFont="1" applyFill="1" applyAlignment="1">
      <alignment vertical="center"/>
    </xf>
    <xf numFmtId="0" fontId="34" fillId="2" borderId="6" xfId="0" applyFont="1" applyFill="1" applyBorder="1" applyAlignment="1">
      <alignment horizontal="center" vertical="center" wrapText="1"/>
    </xf>
    <xf numFmtId="0" fontId="34" fillId="2" borderId="6" xfId="0" applyNumberFormat="1" applyFont="1" applyFill="1" applyBorder="1" applyAlignment="1">
      <alignment horizontal="left" vertical="center" wrapText="1"/>
    </xf>
    <xf numFmtId="0" fontId="42" fillId="2" borderId="6" xfId="0" applyFont="1" applyFill="1" applyBorder="1" applyAlignment="1">
      <alignment vertical="center" wrapText="1"/>
    </xf>
    <xf numFmtId="0" fontId="38" fillId="0" borderId="5" xfId="0" applyFont="1" applyFill="1" applyBorder="1" applyAlignment="1">
      <alignment horizontal="right" vertical="center" wrapText="1"/>
    </xf>
    <xf numFmtId="0" fontId="34" fillId="0" borderId="5" xfId="0" applyFont="1" applyFill="1" applyBorder="1" applyAlignment="1">
      <alignment horizontal="right" vertical="center" wrapText="1"/>
    </xf>
    <xf numFmtId="0" fontId="38" fillId="0" borderId="14" xfId="0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 wrapText="1"/>
    </xf>
    <xf numFmtId="2" fontId="34" fillId="0" borderId="5" xfId="0" applyNumberFormat="1" applyFont="1" applyFill="1" applyBorder="1" applyAlignment="1">
      <alignment horizontal="right" vertical="center" wrapText="1"/>
    </xf>
    <xf numFmtId="2" fontId="34" fillId="0" borderId="6" xfId="0" applyNumberFormat="1" applyFont="1" applyFill="1" applyBorder="1" applyAlignment="1">
      <alignment horizontal="right" vertical="center" wrapText="1"/>
    </xf>
    <xf numFmtId="171" fontId="34" fillId="0" borderId="5" xfId="1" applyNumberFormat="1" applyFont="1" applyFill="1" applyBorder="1" applyAlignment="1">
      <alignment horizontal="right" vertical="center" wrapText="1"/>
    </xf>
    <xf numFmtId="2" fontId="34" fillId="0" borderId="14" xfId="0" applyNumberFormat="1" applyFont="1" applyFill="1" applyBorder="1" applyAlignment="1">
      <alignment horizontal="right" vertical="center" wrapText="1"/>
    </xf>
    <xf numFmtId="0" fontId="34" fillId="0" borderId="0" xfId="0" applyFont="1" applyFill="1"/>
    <xf numFmtId="0" fontId="34" fillId="2" borderId="6" xfId="0" applyFont="1" applyFill="1" applyBorder="1" applyAlignment="1">
      <alignment vertical="center" wrapText="1"/>
    </xf>
    <xf numFmtId="170" fontId="34" fillId="0" borderId="5" xfId="7" applyNumberFormat="1" applyFont="1" applyFill="1" applyBorder="1" applyAlignment="1">
      <alignment horizontal="right" vertical="center" wrapText="1"/>
    </xf>
    <xf numFmtId="172" fontId="34" fillId="0" borderId="6" xfId="5" applyNumberFormat="1" applyFont="1" applyFill="1" applyBorder="1" applyAlignment="1">
      <alignment horizontal="right" vertical="center" wrapText="1"/>
    </xf>
    <xf numFmtId="172" fontId="34" fillId="0" borderId="5" xfId="7" applyNumberFormat="1" applyFont="1" applyFill="1" applyBorder="1" applyAlignment="1">
      <alignment horizontal="right" vertical="center" wrapText="1"/>
    </xf>
    <xf numFmtId="171" fontId="34" fillId="0" borderId="6" xfId="0" applyNumberFormat="1" applyFont="1" applyFill="1" applyBorder="1" applyAlignment="1">
      <alignment horizontal="right" vertical="center" wrapText="1"/>
    </xf>
    <xf numFmtId="173" fontId="34" fillId="0" borderId="6" xfId="0" applyNumberFormat="1" applyFont="1" applyFill="1" applyBorder="1" applyAlignment="1">
      <alignment horizontal="right" vertical="center" wrapText="1"/>
    </xf>
    <xf numFmtId="173" fontId="34" fillId="0" borderId="15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8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38" fillId="2" borderId="6" xfId="0" quotePrefix="1" applyFont="1" applyFill="1" applyBorder="1" applyAlignment="1">
      <alignment vertical="center" wrapText="1"/>
    </xf>
    <xf numFmtId="170" fontId="38" fillId="0" borderId="5" xfId="7" applyNumberFormat="1" applyFont="1" applyFill="1" applyBorder="1" applyAlignment="1">
      <alignment horizontal="right" vertical="center" wrapText="1"/>
    </xf>
    <xf numFmtId="0" fontId="38" fillId="0" borderId="6" xfId="0" applyFont="1" applyFill="1" applyBorder="1" applyAlignment="1">
      <alignment horizontal="right" vertical="center" wrapText="1"/>
    </xf>
    <xf numFmtId="171" fontId="38" fillId="0" borderId="6" xfId="7" applyNumberFormat="1" applyFont="1" applyFill="1" applyBorder="1" applyAlignment="1">
      <alignment horizontal="right" vertical="center" wrapText="1"/>
    </xf>
    <xf numFmtId="170" fontId="38" fillId="0" borderId="6" xfId="7" applyNumberFormat="1" applyFont="1" applyFill="1" applyBorder="1" applyAlignment="1">
      <alignment horizontal="right" vertical="center" wrapText="1"/>
    </xf>
    <xf numFmtId="4" fontId="38" fillId="0" borderId="6" xfId="0" applyNumberFormat="1" applyFont="1" applyFill="1" applyBorder="1" applyAlignment="1">
      <alignment horizontal="right" vertical="center" wrapText="1"/>
    </xf>
    <xf numFmtId="4" fontId="38" fillId="0" borderId="15" xfId="0" applyNumberFormat="1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6" fillId="2" borderId="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right" vertical="center" wrapText="1"/>
    </xf>
    <xf numFmtId="3" fontId="34" fillId="0" borderId="6" xfId="0" applyNumberFormat="1" applyFont="1" applyFill="1" applyBorder="1" applyAlignment="1">
      <alignment horizontal="right" vertical="center" wrapText="1"/>
    </xf>
    <xf numFmtId="1" fontId="34" fillId="0" borderId="6" xfId="0" applyNumberFormat="1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horizontal="right" vertical="center" wrapText="1"/>
    </xf>
    <xf numFmtId="172" fontId="34" fillId="0" borderId="6" xfId="1" applyNumberFormat="1" applyFont="1" applyFill="1" applyBorder="1" applyAlignment="1">
      <alignment horizontal="right" vertical="center" wrapText="1"/>
    </xf>
    <xf numFmtId="0" fontId="38" fillId="0" borderId="15" xfId="0" applyFont="1" applyFill="1" applyBorder="1" applyAlignment="1">
      <alignment horizontal="right" vertical="center" wrapText="1"/>
    </xf>
    <xf numFmtId="173" fontId="34" fillId="2" borderId="6" xfId="6" applyNumberFormat="1" applyFont="1" applyFill="1" applyBorder="1" applyAlignment="1">
      <alignment vertical="center" wrapText="1"/>
    </xf>
    <xf numFmtId="173" fontId="46" fillId="2" borderId="6" xfId="6" applyNumberFormat="1" applyFont="1" applyFill="1" applyBorder="1" applyAlignment="1">
      <alignment horizontal="center" vertical="center" wrapText="1"/>
    </xf>
    <xf numFmtId="173" fontId="38" fillId="2" borderId="6" xfId="6" applyNumberFormat="1" applyFont="1" applyFill="1" applyBorder="1" applyAlignment="1">
      <alignment vertical="center" wrapText="1"/>
    </xf>
    <xf numFmtId="173" fontId="42" fillId="2" borderId="6" xfId="6" applyNumberFormat="1" applyFont="1" applyFill="1" applyBorder="1" applyAlignment="1">
      <alignment horizontal="center" vertical="center" wrapText="1"/>
    </xf>
    <xf numFmtId="173" fontId="38" fillId="0" borderId="6" xfId="6" applyNumberFormat="1" applyFont="1" applyFill="1" applyBorder="1" applyAlignment="1">
      <alignment horizontal="center" vertical="center" wrapText="1"/>
    </xf>
    <xf numFmtId="172" fontId="34" fillId="0" borderId="6" xfId="7" applyNumberFormat="1" applyFont="1" applyFill="1" applyBorder="1" applyAlignment="1">
      <alignment horizontal="right" vertical="center" wrapText="1"/>
    </xf>
    <xf numFmtId="4" fontId="34" fillId="0" borderId="6" xfId="0" applyNumberFormat="1" applyFont="1" applyFill="1" applyBorder="1" applyAlignment="1">
      <alignment horizontal="right" vertical="center" wrapText="1"/>
    </xf>
    <xf numFmtId="170" fontId="34" fillId="0" borderId="6" xfId="7" applyNumberFormat="1" applyFont="1" applyFill="1" applyBorder="1" applyAlignment="1">
      <alignment horizontal="right" vertical="center" wrapText="1"/>
    </xf>
    <xf numFmtId="173" fontId="34" fillId="0" borderId="14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 vertical="center"/>
    </xf>
    <xf numFmtId="172" fontId="38" fillId="0" borderId="6" xfId="7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/>
    <xf numFmtId="3" fontId="18" fillId="0" borderId="6" xfId="0" applyNumberFormat="1" applyFont="1" applyFill="1" applyBorder="1" applyAlignment="1">
      <alignment horizontal="right" vertical="center" wrapText="1"/>
    </xf>
    <xf numFmtId="173" fontId="18" fillId="0" borderId="6" xfId="0" applyNumberFormat="1" applyFont="1" applyFill="1" applyBorder="1" applyAlignment="1">
      <alignment horizontal="right" vertical="center" wrapText="1"/>
    </xf>
    <xf numFmtId="173" fontId="18" fillId="0" borderId="15" xfId="0" applyNumberFormat="1" applyFont="1" applyFill="1" applyBorder="1" applyAlignment="1">
      <alignment horizontal="right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18" fillId="0" borderId="0" xfId="0" applyFont="1" applyFill="1"/>
    <xf numFmtId="173" fontId="34" fillId="0" borderId="6" xfId="7" applyNumberFormat="1" applyFont="1" applyFill="1" applyBorder="1" applyAlignment="1">
      <alignment horizontal="right" vertical="center" wrapText="1"/>
    </xf>
    <xf numFmtId="171" fontId="34" fillId="0" borderId="6" xfId="7" applyNumberFormat="1" applyFont="1" applyFill="1" applyBorder="1" applyAlignment="1">
      <alignment horizontal="right" vertical="center" wrapText="1"/>
    </xf>
    <xf numFmtId="171" fontId="34" fillId="0" borderId="15" xfId="7" applyNumberFormat="1" applyFont="1" applyFill="1" applyBorder="1" applyAlignment="1">
      <alignment horizontal="right" vertical="center" wrapText="1"/>
    </xf>
    <xf numFmtId="170" fontId="18" fillId="0" borderId="0" xfId="0" applyNumberFormat="1" applyFont="1" applyFill="1"/>
    <xf numFmtId="0" fontId="34" fillId="0" borderId="6" xfId="0" applyFont="1" applyFill="1" applyBorder="1" applyAlignment="1">
      <alignment horizontal="center" vertical="center" wrapText="1"/>
    </xf>
    <xf numFmtId="172" fontId="34" fillId="0" borderId="15" xfId="7" applyNumberFormat="1" applyFont="1" applyFill="1" applyBorder="1" applyAlignment="1">
      <alignment horizontal="right" vertical="center" wrapText="1"/>
    </xf>
    <xf numFmtId="0" fontId="38" fillId="2" borderId="6" xfId="0" applyNumberFormat="1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center" vertical="center" wrapText="1"/>
    </xf>
    <xf numFmtId="3" fontId="38" fillId="0" borderId="6" xfId="0" applyNumberFormat="1" applyFont="1" applyFill="1" applyBorder="1" applyAlignment="1">
      <alignment horizontal="right" vertical="center" wrapText="1"/>
    </xf>
    <xf numFmtId="3" fontId="34" fillId="0" borderId="15" xfId="0" applyNumberFormat="1" applyFont="1" applyFill="1" applyBorder="1" applyAlignment="1">
      <alignment horizontal="right" vertical="center" wrapText="1"/>
    </xf>
    <xf numFmtId="173" fontId="34" fillId="0" borderId="14" xfId="7" applyNumberFormat="1" applyFont="1" applyFill="1" applyBorder="1" applyAlignment="1">
      <alignment horizontal="right" vertical="center" wrapText="1"/>
    </xf>
    <xf numFmtId="4" fontId="34" fillId="0" borderId="0" xfId="0" applyNumberFormat="1" applyFont="1" applyFill="1"/>
    <xf numFmtId="170" fontId="38" fillId="0" borderId="6" xfId="0" applyNumberFormat="1" applyFont="1" applyFill="1" applyBorder="1" applyAlignment="1">
      <alignment horizontal="right" vertical="center" wrapText="1"/>
    </xf>
    <xf numFmtId="170" fontId="34" fillId="0" borderId="15" xfId="7" applyNumberFormat="1" applyFont="1" applyFill="1" applyBorder="1" applyAlignment="1">
      <alignment horizontal="right" vertical="center" wrapText="1"/>
    </xf>
    <xf numFmtId="173" fontId="38" fillId="0" borderId="6" xfId="0" applyNumberFormat="1" applyFont="1" applyFill="1" applyBorder="1" applyAlignment="1">
      <alignment horizontal="right" vertical="center" wrapText="1"/>
    </xf>
    <xf numFmtId="164" fontId="34" fillId="0" borderId="6" xfId="0" applyNumberFormat="1" applyFont="1" applyFill="1" applyBorder="1" applyAlignment="1">
      <alignment horizontal="right" vertical="center" wrapText="1"/>
    </xf>
    <xf numFmtId="3" fontId="38" fillId="0" borderId="15" xfId="0" applyNumberFormat="1" applyFont="1" applyFill="1" applyBorder="1" applyAlignment="1">
      <alignment horizontal="right" vertical="center" wrapText="1"/>
    </xf>
    <xf numFmtId="170" fontId="38" fillId="0" borderId="15" xfId="7" applyNumberFormat="1" applyFont="1" applyFill="1" applyBorder="1" applyAlignment="1">
      <alignment horizontal="right" vertical="center" wrapText="1"/>
    </xf>
    <xf numFmtId="170" fontId="34" fillId="0" borderId="0" xfId="0" applyNumberFormat="1" applyFont="1" applyFill="1"/>
    <xf numFmtId="172" fontId="38" fillId="0" borderId="6" xfId="0" applyNumberFormat="1" applyFont="1" applyFill="1" applyBorder="1" applyAlignment="1">
      <alignment horizontal="right" vertical="center" wrapText="1"/>
    </xf>
    <xf numFmtId="171" fontId="38" fillId="0" borderId="6" xfId="0" applyNumberFormat="1" applyFont="1" applyFill="1" applyBorder="1" applyAlignment="1">
      <alignment horizontal="right" vertical="center" wrapText="1"/>
    </xf>
    <xf numFmtId="164" fontId="38" fillId="0" borderId="6" xfId="0" applyNumberFormat="1" applyFont="1" applyFill="1" applyBorder="1" applyAlignment="1">
      <alignment horizontal="righ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left" vertical="center" wrapText="1"/>
    </xf>
    <xf numFmtId="171" fontId="38" fillId="0" borderId="15" xfId="7" applyNumberFormat="1" applyFont="1" applyFill="1" applyBorder="1" applyAlignment="1">
      <alignment horizontal="right" vertical="center" wrapText="1"/>
    </xf>
    <xf numFmtId="1" fontId="38" fillId="0" borderId="6" xfId="0" applyNumberFormat="1" applyFont="1" applyFill="1" applyBorder="1" applyAlignment="1">
      <alignment horizontal="right" vertical="center" wrapText="1"/>
    </xf>
    <xf numFmtId="49" fontId="38" fillId="2" borderId="6" xfId="0" applyNumberFormat="1" applyFont="1" applyFill="1" applyBorder="1" applyAlignment="1">
      <alignment horizontal="left" vertical="center" wrapText="1"/>
    </xf>
    <xf numFmtId="4" fontId="38" fillId="2" borderId="6" xfId="0" applyNumberFormat="1" applyFont="1" applyFill="1" applyBorder="1" applyAlignment="1">
      <alignment horizontal="right" vertical="center" wrapText="1"/>
    </xf>
    <xf numFmtId="2" fontId="38" fillId="2" borderId="6" xfId="0" applyNumberFormat="1" applyFont="1" applyFill="1" applyBorder="1" applyAlignment="1">
      <alignment horizontal="right" vertical="center" wrapText="1"/>
    </xf>
    <xf numFmtId="173" fontId="38" fillId="0" borderId="15" xfId="0" applyNumberFormat="1" applyFont="1" applyFill="1" applyBorder="1" applyAlignment="1">
      <alignment horizontal="right" vertical="center" wrapText="1"/>
    </xf>
    <xf numFmtId="2" fontId="38" fillId="0" borderId="6" xfId="0" applyNumberFormat="1" applyFont="1" applyFill="1" applyBorder="1" applyAlignment="1">
      <alignment horizontal="right" vertical="center" wrapText="1"/>
    </xf>
    <xf numFmtId="164" fontId="38" fillId="2" borderId="6" xfId="0" applyNumberFormat="1" applyFont="1" applyFill="1" applyBorder="1" applyAlignment="1">
      <alignment horizontal="right" vertical="center" wrapText="1"/>
    </xf>
    <xf numFmtId="9" fontId="42" fillId="2" borderId="6" xfId="0" applyNumberFormat="1" applyFont="1" applyFill="1" applyBorder="1" applyAlignment="1">
      <alignment horizontal="center" vertical="center" wrapText="1"/>
    </xf>
    <xf numFmtId="170" fontId="38" fillId="2" borderId="6" xfId="5" applyNumberFormat="1" applyFont="1" applyFill="1" applyBorder="1" applyAlignment="1">
      <alignment vertical="center" wrapText="1"/>
    </xf>
    <xf numFmtId="170" fontId="38" fillId="0" borderId="15" xfId="0" applyNumberFormat="1" applyFont="1" applyFill="1" applyBorder="1" applyAlignment="1">
      <alignment horizontal="right" vertical="center" wrapText="1"/>
    </xf>
    <xf numFmtId="2" fontId="49" fillId="0" borderId="6" xfId="8" applyNumberFormat="1" applyFont="1" applyFill="1" applyBorder="1" applyAlignment="1">
      <alignment horizontal="right" vertical="center" wrapText="1"/>
    </xf>
    <xf numFmtId="2" fontId="49" fillId="0" borderId="6" xfId="8" applyNumberFormat="1" applyFont="1" applyFill="1" applyBorder="1" applyAlignment="1">
      <alignment horizontal="center" vertical="center"/>
    </xf>
    <xf numFmtId="2" fontId="49" fillId="0" borderId="6" xfId="8" applyNumberFormat="1" applyFont="1" applyFill="1" applyBorder="1" applyAlignment="1">
      <alignment horizontal="center" vertical="center" wrapText="1"/>
    </xf>
    <xf numFmtId="170" fontId="49" fillId="0" borderId="6" xfId="0" applyNumberFormat="1" applyFont="1" applyFill="1" applyBorder="1" applyAlignment="1">
      <alignment horizontal="right" vertical="center" wrapText="1"/>
    </xf>
    <xf numFmtId="2" fontId="49" fillId="0" borderId="6" xfId="0" applyNumberFormat="1" applyFont="1" applyFill="1" applyBorder="1" applyAlignment="1">
      <alignment horizontal="right" vertical="center" wrapText="1"/>
    </xf>
    <xf numFmtId="9" fontId="34" fillId="0" borderId="0" xfId="0" applyNumberFormat="1" applyFont="1" applyFill="1"/>
    <xf numFmtId="2" fontId="49" fillId="2" borderId="6" xfId="0" applyNumberFormat="1" applyFont="1" applyFill="1" applyBorder="1" applyAlignment="1">
      <alignment horizontal="right" vertical="center" wrapText="1"/>
    </xf>
    <xf numFmtId="3" fontId="38" fillId="2" borderId="6" xfId="0" applyNumberFormat="1" applyFont="1" applyFill="1" applyBorder="1" applyAlignment="1">
      <alignment horizontal="right" vertical="center" wrapText="1"/>
    </xf>
    <xf numFmtId="173" fontId="49" fillId="2" borderId="6" xfId="0" applyNumberFormat="1" applyFont="1" applyFill="1" applyBorder="1" applyAlignment="1">
      <alignment horizontal="right" vertical="center" wrapText="1"/>
    </xf>
    <xf numFmtId="164" fontId="49" fillId="0" borderId="6" xfId="0" applyNumberFormat="1" applyFont="1" applyFill="1" applyBorder="1" applyAlignment="1">
      <alignment horizontal="right" vertical="center" wrapText="1"/>
    </xf>
    <xf numFmtId="4" fontId="38" fillId="2" borderId="15" xfId="0" applyNumberFormat="1" applyFont="1" applyFill="1" applyBorder="1" applyAlignment="1">
      <alignment horizontal="right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34" fillId="2" borderId="0" xfId="0" applyFont="1" applyFill="1"/>
    <xf numFmtId="170" fontId="18" fillId="0" borderId="6" xfId="0" applyNumberFormat="1" applyFont="1" applyFill="1" applyBorder="1" applyAlignment="1">
      <alignment horizontal="right" vertical="center" wrapText="1"/>
    </xf>
    <xf numFmtId="171" fontId="18" fillId="0" borderId="6" xfId="0" applyNumberFormat="1" applyFont="1" applyFill="1" applyBorder="1" applyAlignment="1">
      <alignment horizontal="right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4" fontId="18" fillId="0" borderId="15" xfId="0" applyNumberFormat="1" applyFont="1" applyFill="1" applyBorder="1" applyAlignment="1">
      <alignment horizontal="right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 wrapText="1"/>
    </xf>
    <xf numFmtId="3" fontId="38" fillId="0" borderId="38" xfId="0" applyNumberFormat="1" applyFont="1" applyFill="1" applyBorder="1" applyAlignment="1">
      <alignment horizontal="right" vertical="center" wrapText="1"/>
    </xf>
    <xf numFmtId="164" fontId="38" fillId="0" borderId="38" xfId="0" applyNumberFormat="1" applyFont="1" applyFill="1" applyBorder="1" applyAlignment="1">
      <alignment vertical="center" wrapText="1"/>
    </xf>
    <xf numFmtId="3" fontId="38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8" fillId="0" borderId="0" xfId="0" applyFont="1" applyFill="1" applyAlignment="1">
      <alignment wrapText="1"/>
    </xf>
    <xf numFmtId="0" fontId="6" fillId="0" borderId="0" xfId="0" applyFont="1" applyFill="1"/>
    <xf numFmtId="172" fontId="38" fillId="0" borderId="0" xfId="7" applyNumberFormat="1" applyFont="1" applyFill="1"/>
    <xf numFmtId="172" fontId="38" fillId="0" borderId="0" xfId="0" applyNumberFormat="1" applyFont="1" applyFill="1"/>
    <xf numFmtId="4" fontId="51" fillId="2" borderId="6" xfId="0" applyNumberFormat="1" applyFont="1" applyFill="1" applyBorder="1" applyAlignment="1">
      <alignment horizontal="right" vertical="center" wrapText="1"/>
    </xf>
    <xf numFmtId="171" fontId="51" fillId="0" borderId="6" xfId="7" applyNumberFormat="1" applyFont="1" applyFill="1" applyBorder="1" applyAlignment="1">
      <alignment horizontal="right" vertical="center" wrapText="1"/>
    </xf>
    <xf numFmtId="3" fontId="51" fillId="0" borderId="6" xfId="0" applyNumberFormat="1" applyFont="1" applyFill="1" applyBorder="1" applyAlignment="1">
      <alignment horizontal="right" vertical="center" wrapText="1"/>
    </xf>
    <xf numFmtId="173" fontId="51" fillId="0" borderId="6" xfId="0" applyNumberFormat="1" applyFont="1" applyFill="1" applyBorder="1" applyAlignment="1">
      <alignment horizontal="right" vertical="center" wrapText="1"/>
    </xf>
    <xf numFmtId="2" fontId="51" fillId="0" borderId="6" xfId="0" applyNumberFormat="1" applyFont="1" applyFill="1" applyBorder="1" applyAlignment="1">
      <alignment horizontal="right" vertical="center" wrapText="1"/>
    </xf>
    <xf numFmtId="170" fontId="51" fillId="0" borderId="6" xfId="0" applyNumberFormat="1" applyFont="1" applyFill="1" applyBorder="1" applyAlignment="1">
      <alignment horizontal="right" vertical="center" wrapText="1"/>
    </xf>
    <xf numFmtId="4" fontId="51" fillId="0" borderId="6" xfId="0" applyNumberFormat="1" applyFont="1" applyFill="1" applyBorder="1" applyAlignment="1">
      <alignment horizontal="right" vertical="center" wrapText="1"/>
    </xf>
    <xf numFmtId="0" fontId="51" fillId="0" borderId="6" xfId="0" applyFont="1" applyFill="1" applyBorder="1" applyAlignment="1">
      <alignment horizontal="right" vertical="center" wrapText="1"/>
    </xf>
    <xf numFmtId="170" fontId="51" fillId="0" borderId="6" xfId="7" applyNumberFormat="1" applyFont="1" applyFill="1" applyBorder="1" applyAlignment="1">
      <alignment horizontal="right" vertical="center" wrapText="1"/>
    </xf>
    <xf numFmtId="3" fontId="51" fillId="2" borderId="6" xfId="0" applyNumberFormat="1" applyFont="1" applyFill="1" applyBorder="1" applyAlignment="1">
      <alignment horizontal="right" vertical="center" wrapText="1"/>
    </xf>
    <xf numFmtId="2" fontId="51" fillId="2" borderId="6" xfId="0" applyNumberFormat="1" applyFont="1" applyFill="1" applyBorder="1" applyAlignment="1">
      <alignment horizontal="right" vertical="center" wrapText="1"/>
    </xf>
    <xf numFmtId="164" fontId="51" fillId="0" borderId="6" xfId="0" applyNumberFormat="1" applyFont="1" applyFill="1" applyBorder="1" applyAlignment="1">
      <alignment horizontal="right" vertical="center" wrapText="1"/>
    </xf>
    <xf numFmtId="173" fontId="51" fillId="0" borderId="15" xfId="0" applyNumberFormat="1" applyFont="1" applyFill="1" applyBorder="1" applyAlignment="1">
      <alignment horizontal="right" vertical="center" wrapText="1"/>
    </xf>
    <xf numFmtId="43" fontId="51" fillId="2" borderId="6" xfId="1" applyFont="1" applyFill="1" applyBorder="1" applyAlignment="1">
      <alignment horizontal="right" vertical="center" wrapText="1"/>
    </xf>
    <xf numFmtId="164" fontId="51" fillId="2" borderId="6" xfId="0" applyNumberFormat="1" applyFont="1" applyFill="1" applyBorder="1" applyAlignment="1">
      <alignment horizontal="right" vertical="center" wrapText="1"/>
    </xf>
    <xf numFmtId="0" fontId="52" fillId="0" borderId="15" xfId="0" applyFont="1" applyFill="1" applyBorder="1" applyAlignment="1">
      <alignment horizontal="right" vertical="center" wrapText="1"/>
    </xf>
    <xf numFmtId="3" fontId="51" fillId="0" borderId="15" xfId="0" applyNumberFormat="1" applyFont="1" applyFill="1" applyBorder="1" applyAlignment="1">
      <alignment horizontal="right" vertical="center" wrapText="1"/>
    </xf>
    <xf numFmtId="170" fontId="51" fillId="0" borderId="15" xfId="0" applyNumberFormat="1" applyFont="1" applyFill="1" applyBorder="1" applyAlignment="1">
      <alignment horizontal="right" vertical="center" wrapText="1"/>
    </xf>
    <xf numFmtId="1" fontId="51" fillId="2" borderId="6" xfId="0" applyNumberFormat="1" applyFont="1" applyFill="1" applyBorder="1" applyAlignment="1">
      <alignment horizontal="right" vertical="center" wrapText="1"/>
    </xf>
    <xf numFmtId="43" fontId="51" fillId="0" borderId="6" xfId="1" applyFont="1" applyFill="1" applyBorder="1" applyAlignment="1">
      <alignment horizontal="right" vertical="center" wrapText="1"/>
    </xf>
    <xf numFmtId="0" fontId="51" fillId="0" borderId="15" xfId="0" applyNumberFormat="1" applyFont="1" applyFill="1" applyBorder="1" applyAlignment="1">
      <alignment horizontal="right" vertical="center" wrapText="1"/>
    </xf>
    <xf numFmtId="43" fontId="51" fillId="0" borderId="15" xfId="1" applyFont="1" applyFill="1" applyBorder="1" applyAlignment="1">
      <alignment horizontal="right" vertical="center" wrapText="1"/>
    </xf>
    <xf numFmtId="173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0" fontId="3" fillId="0" borderId="15" xfId="0" applyNumberFormat="1" applyFont="1" applyFill="1" applyBorder="1" applyAlignment="1">
      <alignment horizontal="center" vertical="center" wrapText="1"/>
    </xf>
    <xf numFmtId="43" fontId="10" fillId="2" borderId="18" xfId="1" applyFont="1" applyFill="1" applyBorder="1" applyAlignment="1">
      <alignment vertical="center" wrapText="1"/>
    </xf>
    <xf numFmtId="43" fontId="10" fillId="2" borderId="1" xfId="1" applyFont="1" applyFill="1" applyBorder="1" applyAlignment="1">
      <alignment vertical="center" wrapText="1"/>
    </xf>
    <xf numFmtId="0" fontId="50" fillId="3" borderId="6" xfId="0" applyFont="1" applyFill="1" applyBorder="1" applyAlignment="1">
      <alignment wrapText="1"/>
    </xf>
    <xf numFmtId="43" fontId="10" fillId="2" borderId="6" xfId="1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 vertical="center"/>
    </xf>
    <xf numFmtId="1" fontId="18" fillId="2" borderId="10" xfId="3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3" fontId="12" fillId="2" borderId="4" xfId="1" applyNumberFormat="1" applyFont="1" applyFill="1" applyBorder="1" applyAlignment="1">
      <alignment horizontal="center" vertical="center"/>
    </xf>
    <xf numFmtId="0" fontId="10" fillId="2" borderId="0" xfId="1" applyNumberFormat="1" applyFont="1" applyFill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53" fillId="3" borderId="6" xfId="0" applyFont="1" applyFill="1" applyBorder="1" applyAlignment="1">
      <alignment horizontal="justify" vertical="center" wrapText="1"/>
    </xf>
    <xf numFmtId="0" fontId="10" fillId="2" borderId="0" xfId="0" applyFont="1" applyFill="1" applyAlignment="1">
      <alignment vertical="center"/>
    </xf>
    <xf numFmtId="0" fontId="21" fillId="3" borderId="6" xfId="0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/>
    </xf>
    <xf numFmtId="2" fontId="59" fillId="0" borderId="6" xfId="0" applyNumberFormat="1" applyFont="1" applyFill="1" applyBorder="1" applyAlignment="1">
      <alignment horizontal="center" vertical="center"/>
    </xf>
    <xf numFmtId="170" fontId="28" fillId="0" borderId="6" xfId="1" applyNumberFormat="1" applyFont="1" applyFill="1" applyBorder="1" applyAlignment="1">
      <alignment horizontal="center" vertical="center"/>
    </xf>
    <xf numFmtId="168" fontId="3" fillId="0" borderId="6" xfId="0" applyNumberFormat="1" applyFont="1" applyFill="1" applyBorder="1" applyAlignment="1">
      <alignment horizontal="center" vertical="center"/>
    </xf>
    <xf numFmtId="168" fontId="59" fillId="0" borderId="6" xfId="0" applyNumberFormat="1" applyFont="1" applyFill="1" applyBorder="1"/>
    <xf numFmtId="165" fontId="10" fillId="2" borderId="7" xfId="4" applyNumberFormat="1" applyFont="1" applyFill="1" applyBorder="1" applyAlignment="1">
      <alignment horizontal="center" vertical="center" wrapText="1"/>
    </xf>
    <xf numFmtId="168" fontId="59" fillId="0" borderId="6" xfId="0" applyNumberFormat="1" applyFont="1" applyFill="1" applyBorder="1" applyAlignment="1">
      <alignment horizontal="center"/>
    </xf>
    <xf numFmtId="43" fontId="10" fillId="0" borderId="19" xfId="1" applyFont="1" applyFill="1" applyBorder="1" applyAlignment="1">
      <alignment horizontal="center" vertical="center" wrapText="1"/>
    </xf>
    <xf numFmtId="2" fontId="59" fillId="0" borderId="5" xfId="0" applyNumberFormat="1" applyFont="1" applyFill="1" applyBorder="1" applyAlignment="1">
      <alignment horizontal="center" vertical="center"/>
    </xf>
    <xf numFmtId="2" fontId="44" fillId="0" borderId="6" xfId="4" applyNumberFormat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/>
    </xf>
    <xf numFmtId="0" fontId="60" fillId="4" borderId="0" xfId="0" applyFont="1" applyFill="1" applyProtection="1">
      <protection locked="0"/>
    </xf>
    <xf numFmtId="0" fontId="61" fillId="0" borderId="0" xfId="0" applyFont="1" applyFill="1" applyProtection="1">
      <protection locked="0"/>
    </xf>
    <xf numFmtId="0" fontId="61" fillId="0" borderId="0" xfId="0" applyFont="1" applyFill="1" applyAlignment="1" applyProtection="1">
      <protection locked="0"/>
    </xf>
    <xf numFmtId="0" fontId="60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172" fontId="60" fillId="4" borderId="0" xfId="0" applyNumberFormat="1" applyFont="1" applyFill="1" applyProtection="1">
      <protection locked="0"/>
    </xf>
    <xf numFmtId="172" fontId="60" fillId="4" borderId="0" xfId="1" applyNumberFormat="1" applyFont="1" applyFill="1" applyProtection="1">
      <protection locked="0"/>
    </xf>
    <xf numFmtId="171" fontId="5" fillId="0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170" fontId="3" fillId="0" borderId="0" xfId="0" applyNumberFormat="1" applyFont="1" applyFill="1" applyProtection="1">
      <protection locked="0"/>
    </xf>
    <xf numFmtId="172" fontId="3" fillId="0" borderId="0" xfId="1" applyNumberFormat="1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70" fontId="60" fillId="0" borderId="0" xfId="0" applyNumberFormat="1" applyFont="1" applyFill="1" applyProtection="1">
      <protection locked="0"/>
    </xf>
    <xf numFmtId="172" fontId="60" fillId="0" borderId="0" xfId="1" applyNumberFormat="1" applyFont="1" applyFill="1" applyProtection="1">
      <protection locked="0"/>
    </xf>
    <xf numFmtId="171" fontId="66" fillId="0" borderId="1" xfId="0" applyNumberFormat="1" applyFont="1" applyFill="1" applyBorder="1" applyProtection="1">
      <protection locked="0"/>
    </xf>
    <xf numFmtId="171" fontId="66" fillId="0" borderId="0" xfId="0" applyNumberFormat="1" applyFont="1" applyFill="1" applyProtection="1">
      <protection locked="0"/>
    </xf>
    <xf numFmtId="172" fontId="66" fillId="0" borderId="0" xfId="0" applyNumberFormat="1" applyFont="1" applyFill="1" applyProtection="1">
      <protection locked="0"/>
    </xf>
    <xf numFmtId="0" fontId="66" fillId="0" borderId="0" xfId="0" applyFont="1" applyFill="1" applyProtection="1">
      <protection locked="0"/>
    </xf>
    <xf numFmtId="164" fontId="67" fillId="0" borderId="1" xfId="0" applyNumberFormat="1" applyFont="1" applyFill="1" applyBorder="1" applyProtection="1">
      <protection locked="0"/>
    </xf>
    <xf numFmtId="0" fontId="67" fillId="0" borderId="0" xfId="0" applyFont="1" applyFill="1" applyProtection="1">
      <protection locked="0"/>
    </xf>
    <xf numFmtId="171" fontId="67" fillId="0" borderId="0" xfId="0" applyNumberFormat="1" applyFont="1" applyFill="1" applyProtection="1">
      <protection locked="0"/>
    </xf>
    <xf numFmtId="172" fontId="46" fillId="0" borderId="1" xfId="1" applyNumberFormat="1" applyFont="1" applyFill="1" applyBorder="1" applyAlignment="1" applyProtection="1">
      <alignment horizontal="center" vertical="center" wrapText="1"/>
    </xf>
    <xf numFmtId="164" fontId="64" fillId="0" borderId="1" xfId="0" applyNumberFormat="1" applyFont="1" applyFill="1" applyBorder="1" applyProtection="1">
      <protection locked="0"/>
    </xf>
    <xf numFmtId="172" fontId="64" fillId="0" borderId="0" xfId="0" applyNumberFormat="1" applyFont="1" applyFill="1" applyProtection="1">
      <protection locked="0"/>
    </xf>
    <xf numFmtId="0" fontId="64" fillId="0" borderId="0" xfId="0" applyFont="1" applyFill="1" applyProtection="1">
      <protection locked="0"/>
    </xf>
    <xf numFmtId="172" fontId="3" fillId="0" borderId="0" xfId="0" applyNumberFormat="1" applyFont="1" applyFill="1" applyProtection="1">
      <protection locked="0"/>
    </xf>
    <xf numFmtId="172" fontId="46" fillId="0" borderId="1" xfId="1" applyNumberFormat="1" applyFont="1" applyFill="1" applyBorder="1" applyAlignment="1" applyProtection="1">
      <alignment horizontal="center" vertical="center"/>
    </xf>
    <xf numFmtId="172" fontId="65" fillId="0" borderId="1" xfId="1" applyNumberFormat="1" applyFont="1" applyFill="1" applyBorder="1" applyAlignment="1" applyProtection="1">
      <alignment horizontal="center" vertical="center"/>
    </xf>
    <xf numFmtId="172" fontId="65" fillId="0" borderId="1" xfId="1" applyNumberFormat="1" applyFont="1" applyFill="1" applyBorder="1" applyAlignment="1" applyProtection="1">
      <alignment horizontal="left" vertical="center"/>
    </xf>
    <xf numFmtId="172" fontId="42" fillId="0" borderId="1" xfId="1" applyNumberFormat="1" applyFont="1" applyFill="1" applyBorder="1" applyAlignment="1" applyProtection="1">
      <alignment horizontal="center" vertical="center"/>
    </xf>
    <xf numFmtId="172" fontId="42" fillId="0" borderId="1" xfId="1" applyNumberFormat="1" applyFont="1" applyFill="1" applyBorder="1" applyAlignment="1" applyProtection="1">
      <alignment horizontal="left" vertical="center"/>
    </xf>
    <xf numFmtId="172" fontId="42" fillId="0" borderId="1" xfId="1" applyNumberFormat="1" applyFont="1" applyFill="1" applyBorder="1" applyAlignment="1" applyProtection="1">
      <alignment horizontal="center" vertical="center"/>
      <protection locked="0"/>
    </xf>
    <xf numFmtId="172" fontId="62" fillId="0" borderId="1" xfId="1" applyNumberFormat="1" applyFont="1" applyFill="1" applyBorder="1" applyAlignment="1" applyProtection="1">
      <alignment horizontal="center" vertical="center"/>
    </xf>
    <xf numFmtId="3" fontId="63" fillId="0" borderId="1" xfId="0" applyNumberFormat="1" applyFont="1" applyFill="1" applyBorder="1"/>
    <xf numFmtId="172" fontId="42" fillId="0" borderId="1" xfId="9" applyNumberFormat="1" applyFont="1" applyFill="1" applyBorder="1" applyAlignment="1" applyProtection="1">
      <alignment horizontal="center" vertical="center"/>
      <protection locked="0"/>
    </xf>
    <xf numFmtId="172" fontId="62" fillId="0" borderId="1" xfId="1" applyNumberFormat="1" applyFont="1" applyFill="1" applyBorder="1" applyAlignment="1" applyProtection="1">
      <alignment horizontal="left" vertical="center"/>
    </xf>
    <xf numFmtId="172" fontId="42" fillId="0" borderId="1" xfId="1" applyNumberFormat="1" applyFont="1" applyFill="1" applyBorder="1" applyAlignment="1" applyProtection="1">
      <alignment vertical="center"/>
    </xf>
    <xf numFmtId="172" fontId="42" fillId="0" borderId="1" xfId="10" applyNumberFormat="1" applyFont="1" applyFill="1" applyBorder="1" applyAlignment="1" applyProtection="1">
      <alignment horizontal="center" vertical="center"/>
      <protection locked="0"/>
    </xf>
    <xf numFmtId="172" fontId="42" fillId="0" borderId="1" xfId="10" applyNumberFormat="1" applyFont="1" applyFill="1" applyBorder="1" applyAlignment="1" applyProtection="1">
      <alignment horizontal="center" vertical="center"/>
    </xf>
    <xf numFmtId="172" fontId="42" fillId="0" borderId="1" xfId="1" applyNumberFormat="1" applyFont="1" applyFill="1" applyBorder="1" applyAlignment="1" applyProtection="1">
      <alignment vertical="center"/>
      <protection locked="0"/>
    </xf>
    <xf numFmtId="171" fontId="46" fillId="0" borderId="1" xfId="1" applyNumberFormat="1" applyFont="1" applyFill="1" applyBorder="1" applyAlignment="1" applyProtection="1">
      <alignment horizontal="center" vertical="center"/>
    </xf>
    <xf numFmtId="171" fontId="62" fillId="0" borderId="1" xfId="1" applyNumberFormat="1" applyFont="1" applyFill="1" applyBorder="1" applyAlignment="1" applyProtection="1">
      <alignment horizontal="center" vertical="center"/>
    </xf>
    <xf numFmtId="172" fontId="5" fillId="0" borderId="1" xfId="1" applyNumberFormat="1" applyFont="1" applyFill="1" applyBorder="1" applyAlignment="1" applyProtection="1">
      <alignment horizontal="center" vertical="center" wrapText="1"/>
    </xf>
    <xf numFmtId="172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Protection="1">
      <protection locked="0"/>
    </xf>
    <xf numFmtId="3" fontId="60" fillId="0" borderId="0" xfId="0" applyNumberFormat="1" applyFont="1" applyFill="1" applyProtection="1">
      <protection locked="0"/>
    </xf>
    <xf numFmtId="171" fontId="3" fillId="0" borderId="5" xfId="1" applyNumberFormat="1" applyFont="1" applyFill="1" applyBorder="1" applyAlignment="1" applyProtection="1">
      <alignment horizontal="center" vertical="center"/>
      <protection locked="0"/>
    </xf>
    <xf numFmtId="171" fontId="3" fillId="0" borderId="8" xfId="1" applyNumberFormat="1" applyFont="1" applyFill="1" applyBorder="1" applyAlignment="1" applyProtection="1">
      <alignment horizontal="center" vertical="center"/>
      <protection locked="0"/>
    </xf>
    <xf numFmtId="171" fontId="3" fillId="0" borderId="13" xfId="1" applyNumberFormat="1" applyFont="1" applyFill="1" applyBorder="1" applyAlignment="1" applyProtection="1">
      <alignment horizontal="center" vertical="center"/>
      <protection locked="0"/>
    </xf>
    <xf numFmtId="171" fontId="10" fillId="0" borderId="1" xfId="1" applyNumberFormat="1" applyFont="1" applyFill="1" applyBorder="1" applyAlignment="1" applyProtection="1">
      <alignment horizontal="center" vertical="center"/>
    </xf>
    <xf numFmtId="172" fontId="3" fillId="0" borderId="1" xfId="1" applyNumberFormat="1" applyFont="1" applyFill="1" applyBorder="1" applyAlignment="1" applyProtection="1">
      <alignment horizontal="center" vertical="center"/>
    </xf>
    <xf numFmtId="172" fontId="3" fillId="0" borderId="1" xfId="1" applyNumberFormat="1" applyFont="1" applyFill="1" applyBorder="1" applyAlignment="1" applyProtection="1">
      <alignment horizontal="left" vertical="center"/>
    </xf>
    <xf numFmtId="172" fontId="3" fillId="0" borderId="1" xfId="1" applyNumberFormat="1" applyFont="1" applyFill="1" applyBorder="1" applyAlignment="1" applyProtection="1">
      <alignment horizontal="center" vertical="center"/>
      <protection locked="0"/>
    </xf>
    <xf numFmtId="172" fontId="10" fillId="0" borderId="1" xfId="1" applyNumberFormat="1" applyFont="1" applyFill="1" applyBorder="1" applyAlignment="1" applyProtection="1">
      <alignment horizontal="center" vertical="center"/>
    </xf>
    <xf numFmtId="170" fontId="10" fillId="0" borderId="1" xfId="1" applyNumberFormat="1" applyFont="1" applyFill="1" applyBorder="1" applyAlignment="1" applyProtection="1">
      <alignment horizontal="center" vertical="center"/>
      <protection locked="0"/>
    </xf>
    <xf numFmtId="172" fontId="3" fillId="0" borderId="1" xfId="10" applyNumberFormat="1" applyFont="1" applyFill="1" applyBorder="1" applyAlignment="1" applyProtection="1">
      <alignment horizontal="center" vertical="center"/>
    </xf>
    <xf numFmtId="172" fontId="3" fillId="0" borderId="1" xfId="10" applyNumberFormat="1" applyFont="1" applyFill="1" applyBorder="1" applyAlignment="1" applyProtection="1">
      <alignment horizontal="center" vertical="center"/>
      <protection locked="0"/>
    </xf>
    <xf numFmtId="172" fontId="3" fillId="0" borderId="1" xfId="1" applyNumberFormat="1" applyFont="1" applyFill="1" applyBorder="1" applyAlignment="1" applyProtection="1">
      <alignment vertical="center"/>
    </xf>
    <xf numFmtId="172" fontId="10" fillId="0" borderId="1" xfId="1" applyNumberFormat="1" applyFont="1" applyFill="1" applyBorder="1" applyAlignment="1" applyProtection="1">
      <alignment vertical="center"/>
    </xf>
    <xf numFmtId="172" fontId="3" fillId="0" borderId="1" xfId="1" applyNumberFormat="1" applyFont="1" applyFill="1" applyBorder="1" applyAlignment="1" applyProtection="1">
      <alignment vertical="center"/>
      <protection locked="0"/>
    </xf>
    <xf numFmtId="171" fontId="3" fillId="0" borderId="1" xfId="1" applyNumberFormat="1" applyFont="1" applyFill="1" applyBorder="1" applyAlignment="1" applyProtection="1">
      <alignment horizontal="center" vertical="center"/>
    </xf>
    <xf numFmtId="0" fontId="60" fillId="0" borderId="0" xfId="0" applyFont="1" applyFill="1" applyAlignment="1" applyProtection="1">
      <alignment horizontal="center"/>
      <protection locked="0"/>
    </xf>
    <xf numFmtId="3" fontId="12" fillId="0" borderId="0" xfId="0" applyNumberFormat="1" applyFont="1" applyFill="1" applyProtection="1">
      <protection locked="0"/>
    </xf>
    <xf numFmtId="3" fontId="61" fillId="0" borderId="0" xfId="0" applyNumberFormat="1" applyFont="1" applyFill="1" applyProtection="1">
      <protection locked="0"/>
    </xf>
    <xf numFmtId="171" fontId="61" fillId="0" borderId="0" xfId="0" applyNumberFormat="1" applyFont="1" applyFill="1" applyProtection="1">
      <protection locked="0"/>
    </xf>
    <xf numFmtId="172" fontId="5" fillId="0" borderId="1" xfId="1" applyNumberFormat="1" applyFont="1" applyFill="1" applyBorder="1" applyAlignment="1" applyProtection="1">
      <alignment horizontal="center" vertical="center"/>
    </xf>
    <xf numFmtId="171" fontId="5" fillId="0" borderId="1" xfId="1" applyNumberFormat="1" applyFont="1" applyFill="1" applyBorder="1" applyAlignment="1" applyProtection="1">
      <alignment horizontal="center" vertical="center"/>
    </xf>
    <xf numFmtId="171" fontId="12" fillId="0" borderId="1" xfId="1" applyNumberFormat="1" applyFont="1" applyFill="1" applyBorder="1" applyAlignment="1" applyProtection="1">
      <alignment horizontal="center" vertical="center"/>
    </xf>
    <xf numFmtId="171" fontId="5" fillId="0" borderId="43" xfId="1" applyNumberFormat="1" applyFont="1" applyFill="1" applyBorder="1" applyAlignment="1" applyProtection="1">
      <alignment horizontal="center" vertical="center"/>
      <protection locked="0"/>
    </xf>
    <xf numFmtId="172" fontId="5" fillId="0" borderId="1" xfId="1" applyNumberFormat="1" applyFont="1" applyFill="1" applyBorder="1" applyAlignment="1" applyProtection="1">
      <alignment vertical="center"/>
    </xf>
    <xf numFmtId="172" fontId="5" fillId="0" borderId="1" xfId="1" applyNumberFormat="1" applyFont="1" applyFill="1" applyBorder="1" applyAlignment="1" applyProtection="1">
      <alignment horizontal="left" vertical="center"/>
    </xf>
    <xf numFmtId="170" fontId="12" fillId="0" borderId="1" xfId="1" applyNumberFormat="1" applyFont="1" applyFill="1" applyBorder="1" applyAlignment="1" applyProtection="1">
      <alignment horizontal="center" vertical="center"/>
    </xf>
    <xf numFmtId="172" fontId="12" fillId="0" borderId="1" xfId="1" applyNumberFormat="1" applyFont="1" applyFill="1" applyBorder="1" applyAlignment="1" applyProtection="1">
      <alignment horizontal="center"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1" fontId="7" fillId="2" borderId="0" xfId="3" applyFont="1" applyFill="1" applyAlignment="1">
      <alignment horizontal="left"/>
    </xf>
    <xf numFmtId="1" fontId="19" fillId="2" borderId="1" xfId="3" applyFont="1" applyFill="1" applyBorder="1" applyAlignment="1">
      <alignment horizontal="center" vertical="center"/>
    </xf>
    <xf numFmtId="0" fontId="19" fillId="2" borderId="1" xfId="4" applyFont="1" applyFill="1" applyBorder="1" applyAlignment="1">
      <alignment horizontal="center" vertical="center" wrapText="1"/>
    </xf>
    <xf numFmtId="0" fontId="10" fillId="2" borderId="15" xfId="4" applyFont="1" applyFill="1" applyBorder="1" applyAlignment="1">
      <alignment horizontal="center" vertical="center" wrapText="1"/>
    </xf>
    <xf numFmtId="0" fontId="10" fillId="2" borderId="21" xfId="4" applyFont="1" applyFill="1" applyBorder="1" applyAlignment="1">
      <alignment horizontal="center" vertical="center" wrapText="1"/>
    </xf>
    <xf numFmtId="0" fontId="10" fillId="2" borderId="22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1" fontId="18" fillId="2" borderId="0" xfId="3" applyFont="1" applyFill="1" applyBorder="1" applyAlignment="1">
      <alignment horizontal="center"/>
    </xf>
    <xf numFmtId="164" fontId="11" fillId="2" borderId="0" xfId="3" applyNumberFormat="1" applyFont="1" applyFill="1" applyBorder="1" applyAlignment="1">
      <alignment horizontal="center" wrapText="1"/>
    </xf>
    <xf numFmtId="0" fontId="19" fillId="2" borderId="2" xfId="4" applyFont="1" applyFill="1" applyBorder="1" applyAlignment="1">
      <alignment horizontal="center" vertical="center" wrapText="1"/>
    </xf>
    <xf numFmtId="0" fontId="19" fillId="2" borderId="9" xfId="4" applyFont="1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center"/>
    </xf>
    <xf numFmtId="0" fontId="12" fillId="2" borderId="12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left" vertical="center" wrapText="1"/>
    </xf>
    <xf numFmtId="0" fontId="12" fillId="2" borderId="9" xfId="4" applyFont="1" applyFill="1" applyBorder="1" applyAlignment="1">
      <alignment horizontal="left" vertical="center" wrapText="1"/>
    </xf>
    <xf numFmtId="0" fontId="12" fillId="2" borderId="3" xfId="4" applyFont="1" applyFill="1" applyBorder="1" applyAlignment="1">
      <alignment horizontal="left" vertical="center" wrapText="1"/>
    </xf>
    <xf numFmtId="1" fontId="14" fillId="2" borderId="12" xfId="3" applyFont="1" applyFill="1" applyBorder="1" applyAlignment="1">
      <alignment horizontal="center" vertical="center"/>
    </xf>
    <xf numFmtId="1" fontId="14" fillId="2" borderId="13" xfId="3" applyFont="1" applyFill="1" applyBorder="1" applyAlignment="1">
      <alignment horizontal="center" vertical="center"/>
    </xf>
    <xf numFmtId="0" fontId="14" fillId="2" borderId="12" xfId="4" applyFont="1" applyFill="1" applyBorder="1" applyAlignment="1">
      <alignment horizontal="center" vertical="center" wrapText="1"/>
    </xf>
    <xf numFmtId="0" fontId="14" fillId="2" borderId="13" xfId="4" applyFont="1" applyFill="1" applyBorder="1" applyAlignment="1">
      <alignment horizontal="center" vertical="center" wrapText="1"/>
    </xf>
    <xf numFmtId="0" fontId="12" fillId="2" borderId="12" xfId="1" applyNumberFormat="1" applyFont="1" applyFill="1" applyBorder="1" applyAlignment="1">
      <alignment horizontal="center" vertical="center" wrapText="1"/>
    </xf>
    <xf numFmtId="0" fontId="12" fillId="2" borderId="13" xfId="1" applyNumberFormat="1" applyFont="1" applyFill="1" applyBorder="1" applyAlignment="1">
      <alignment horizontal="center" vertical="center" wrapText="1"/>
    </xf>
    <xf numFmtId="0" fontId="12" fillId="2" borderId="2" xfId="1" applyNumberFormat="1" applyFont="1" applyFill="1" applyBorder="1" applyAlignment="1">
      <alignment horizontal="center" vertical="center" wrapText="1"/>
    </xf>
    <xf numFmtId="0" fontId="12" fillId="2" borderId="9" xfId="1" applyNumberFormat="1" applyFont="1" applyFill="1" applyBorder="1" applyAlignment="1">
      <alignment horizontal="center" vertical="center" wrapText="1"/>
    </xf>
    <xf numFmtId="0" fontId="12" fillId="2" borderId="3" xfId="1" applyNumberFormat="1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1" fontId="18" fillId="2" borderId="10" xfId="3" applyFont="1" applyFill="1" applyBorder="1" applyAlignment="1">
      <alignment horizontal="center"/>
    </xf>
    <xf numFmtId="1" fontId="14" fillId="2" borderId="1" xfId="3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3" fontId="51" fillId="0" borderId="18" xfId="0" applyNumberFormat="1" applyFont="1" applyFill="1" applyBorder="1" applyAlignment="1">
      <alignment horizontal="center" vertical="center" wrapText="1"/>
    </xf>
    <xf numFmtId="173" fontId="51" fillId="0" borderId="5" xfId="0" applyNumberFormat="1" applyFont="1" applyFill="1" applyBorder="1" applyAlignment="1">
      <alignment horizontal="center" vertical="center" wrapText="1"/>
    </xf>
    <xf numFmtId="173" fontId="3" fillId="0" borderId="18" xfId="0" applyNumberFormat="1" applyFont="1" applyFill="1" applyBorder="1" applyAlignment="1">
      <alignment horizontal="center" vertical="center" wrapText="1"/>
    </xf>
    <xf numFmtId="173" fontId="3" fillId="0" borderId="5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9" fontId="5" fillId="0" borderId="32" xfId="0" applyNumberFormat="1" applyFont="1" applyFill="1" applyBorder="1" applyAlignment="1">
      <alignment horizontal="center" vertical="center" wrapText="1"/>
    </xf>
    <xf numFmtId="169" fontId="5" fillId="0" borderId="34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horizontal="left"/>
    </xf>
    <xf numFmtId="3" fontId="39" fillId="0" borderId="0" xfId="6" applyNumberFormat="1" applyFont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6" fillId="2" borderId="17" xfId="4" applyFont="1" applyFill="1" applyBorder="1" applyAlignment="1">
      <alignment horizontal="center" vertical="center" wrapText="1"/>
    </xf>
    <xf numFmtId="0" fontId="6" fillId="2" borderId="19" xfId="4" applyFont="1" applyFill="1" applyBorder="1" applyAlignment="1">
      <alignment horizontal="center" vertical="center" wrapText="1"/>
    </xf>
    <xf numFmtId="0" fontId="6" fillId="2" borderId="14" xfId="4" applyFont="1" applyFill="1" applyBorder="1" applyAlignment="1">
      <alignment horizontal="center" vertical="center" wrapText="1"/>
    </xf>
    <xf numFmtId="0" fontId="6" fillId="2" borderId="16" xfId="4" applyFont="1" applyFill="1" applyBorder="1" applyAlignment="1">
      <alignment horizontal="center" vertical="center" wrapText="1"/>
    </xf>
    <xf numFmtId="0" fontId="6" fillId="2" borderId="15" xfId="4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166" fontId="3" fillId="2" borderId="18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0" fontId="54" fillId="2" borderId="15" xfId="4" applyFont="1" applyFill="1" applyBorder="1" applyAlignment="1">
      <alignment horizontal="center" vertical="center" wrapText="1"/>
    </xf>
    <xf numFmtId="0" fontId="54" fillId="2" borderId="7" xfId="4" applyFont="1" applyFill="1" applyBorder="1" applyAlignment="1">
      <alignment horizontal="center" vertical="center" wrapText="1"/>
    </xf>
    <xf numFmtId="15" fontId="12" fillId="2" borderId="12" xfId="1" quotePrefix="1" applyNumberFormat="1" applyFont="1" applyFill="1" applyBorder="1" applyAlignment="1">
      <alignment horizontal="center" vertical="center" wrapText="1"/>
    </xf>
    <xf numFmtId="172" fontId="34" fillId="2" borderId="0" xfId="1" applyNumberFormat="1" applyFont="1" applyFill="1" applyBorder="1" applyAlignment="1" applyProtection="1">
      <alignment horizontal="center" vertical="center"/>
      <protection locked="0"/>
    </xf>
    <xf numFmtId="172" fontId="15" fillId="2" borderId="0" xfId="1" applyNumberFormat="1" applyFont="1" applyFill="1" applyBorder="1" applyAlignment="1" applyProtection="1">
      <alignment horizontal="center" vertical="center"/>
      <protection locked="0"/>
    </xf>
    <xf numFmtId="172" fontId="46" fillId="0" borderId="1" xfId="1" applyNumberFormat="1" applyFont="1" applyFill="1" applyBorder="1" applyAlignment="1" applyProtection="1">
      <alignment horizontal="center" vertical="center" wrapText="1"/>
    </xf>
    <xf numFmtId="172" fontId="13" fillId="0" borderId="1" xfId="1" applyNumberFormat="1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horizontal="center"/>
      <protection locked="0"/>
    </xf>
    <xf numFmtId="172" fontId="5" fillId="0" borderId="1" xfId="1" applyNumberFormat="1" applyFont="1" applyFill="1" applyBorder="1" applyAlignment="1" applyProtection="1">
      <alignment horizontal="center" vertical="center" wrapText="1"/>
    </xf>
    <xf numFmtId="172" fontId="3" fillId="4" borderId="0" xfId="0" applyNumberFormat="1" applyFont="1" applyFill="1" applyAlignment="1" applyProtection="1">
      <alignment horizontal="center"/>
      <protection locked="0"/>
    </xf>
    <xf numFmtId="172" fontId="5" fillId="2" borderId="0" xfId="1" applyNumberFormat="1" applyFont="1" applyFill="1" applyBorder="1" applyAlignment="1" applyProtection="1">
      <alignment horizontal="center" vertical="center"/>
      <protection locked="0"/>
    </xf>
    <xf numFmtId="172" fontId="5" fillId="2" borderId="10" xfId="1" applyNumberFormat="1" applyFont="1" applyFill="1" applyBorder="1" applyAlignment="1" applyProtection="1">
      <alignment horizontal="center" vertical="center"/>
      <protection locked="0"/>
    </xf>
    <xf numFmtId="170" fontId="5" fillId="0" borderId="1" xfId="1" applyNumberFormat="1" applyFont="1" applyFill="1" applyBorder="1" applyAlignment="1" applyProtection="1">
      <alignment horizontal="center" vertical="center" wrapText="1"/>
    </xf>
    <xf numFmtId="172" fontId="3" fillId="4" borderId="0" xfId="1" applyNumberFormat="1" applyFont="1" applyFill="1" applyAlignment="1" applyProtection="1">
      <alignment horizontal="center"/>
      <protection locked="0"/>
    </xf>
    <xf numFmtId="172" fontId="5" fillId="0" borderId="1" xfId="1" applyNumberFormat="1" applyFont="1" applyFill="1" applyBorder="1" applyAlignment="1" applyProtection="1">
      <alignment horizontal="center" vertical="center"/>
    </xf>
    <xf numFmtId="172" fontId="5" fillId="0" borderId="41" xfId="1" applyNumberFormat="1" applyFont="1" applyFill="1" applyBorder="1" applyAlignment="1" applyProtection="1">
      <alignment horizontal="center" vertical="center" wrapText="1"/>
      <protection locked="0"/>
    </xf>
    <xf numFmtId="172" fontId="5" fillId="0" borderId="42" xfId="1" applyNumberFormat="1" applyFont="1" applyFill="1" applyBorder="1" applyAlignment="1" applyProtection="1">
      <alignment horizontal="center" vertical="center" wrapText="1"/>
      <protection locked="0"/>
    </xf>
    <xf numFmtId="172" fontId="5" fillId="0" borderId="44" xfId="1" applyNumberFormat="1" applyFont="1" applyFill="1" applyBorder="1" applyAlignment="1" applyProtection="1">
      <alignment horizontal="center" vertical="center" wrapText="1"/>
      <protection locked="0"/>
    </xf>
    <xf numFmtId="172" fontId="5" fillId="0" borderId="45" xfId="1" applyNumberFormat="1" applyFont="1" applyFill="1" applyBorder="1" applyAlignment="1" applyProtection="1">
      <alignment horizontal="center" vertical="center" wrapText="1"/>
      <protection locked="0"/>
    </xf>
    <xf numFmtId="43" fontId="3" fillId="2" borderId="5" xfId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" fontId="3" fillId="2" borderId="5" xfId="1" applyNumberFormat="1" applyFont="1" applyFill="1" applyBorder="1" applyAlignment="1">
      <alignment horizontal="center" vertical="center" wrapText="1"/>
    </xf>
  </cellXfs>
  <cellStyles count="11">
    <cellStyle name="Comma" xfId="1" builtinId="3"/>
    <cellStyle name="Comma 10" xfId="5"/>
    <cellStyle name="Comma 12" xfId="8"/>
    <cellStyle name="Comma 2" xfId="9"/>
    <cellStyle name="Comma 2_bao cao cua UBND tinh quy II - 2011" xfId="7"/>
    <cellStyle name="Comma 3" xfId="10"/>
    <cellStyle name="Normal" xfId="0" builtinId="0"/>
    <cellStyle name="Normal_Bieu BC cap Huyen - Xa " xfId="3"/>
    <cellStyle name="Normal_Chi tieu KH 2008" xfId="6"/>
    <cellStyle name="Normal_Sheet1" xfId="2"/>
    <cellStyle name="Normal_Shee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6"/>
  <sheetViews>
    <sheetView workbookViewId="0">
      <pane xSplit="3" ySplit="5" topLeftCell="D39" activePane="bottomRight" state="frozen"/>
      <selection pane="topRight" activeCell="D1" sqref="D1"/>
      <selection pane="bottomLeft" activeCell="A6" sqref="A6"/>
      <selection pane="bottomRight" activeCell="T49" sqref="T49"/>
    </sheetView>
  </sheetViews>
  <sheetFormatPr defaultRowHeight="12.75"/>
  <cols>
    <col min="1" max="1" width="5.125" style="7" customWidth="1"/>
    <col min="2" max="2" width="25" style="7" customWidth="1"/>
    <col min="3" max="3" width="6" style="7" customWidth="1"/>
    <col min="4" max="10" width="7.75" style="7" customWidth="1"/>
    <col min="11" max="11" width="8.25" style="7" customWidth="1"/>
    <col min="12" max="20" width="8.875" style="7" customWidth="1"/>
    <col min="21" max="37" width="4.625" style="7" hidden="1" customWidth="1"/>
    <col min="38" max="38" width="0.125" style="7" hidden="1" customWidth="1"/>
    <col min="39" max="39" width="0.75" style="7" hidden="1" customWidth="1"/>
    <col min="40" max="40" width="0" style="7" hidden="1" customWidth="1"/>
    <col min="41" max="16384" width="9" style="7"/>
  </cols>
  <sheetData>
    <row r="1" spans="1:41" ht="15.75">
      <c r="A1" s="467" t="s">
        <v>62</v>
      </c>
      <c r="B1" s="46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1" ht="15.75" customHeight="1">
      <c r="A2" s="475" t="s">
        <v>37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41" ht="15.75">
      <c r="A3" s="474" t="s">
        <v>155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164"/>
      <c r="S3" s="164"/>
      <c r="T3" s="164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</row>
    <row r="4" spans="1:41" ht="15.75">
      <c r="A4" s="154"/>
      <c r="B4" s="154"/>
      <c r="C4" s="154"/>
      <c r="D4" s="154"/>
      <c r="E4" s="154"/>
      <c r="F4" s="154"/>
      <c r="G4" s="154"/>
      <c r="H4" s="154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</row>
    <row r="5" spans="1:41" s="59" customFormat="1" ht="12.75" customHeight="1">
      <c r="A5" s="468" t="s">
        <v>9</v>
      </c>
      <c r="B5" s="469" t="s">
        <v>10</v>
      </c>
      <c r="C5" s="469" t="s">
        <v>11</v>
      </c>
      <c r="D5" s="476" t="s">
        <v>38</v>
      </c>
      <c r="E5" s="478"/>
      <c r="F5" s="476" t="s">
        <v>41</v>
      </c>
      <c r="G5" s="477"/>
      <c r="H5" s="478"/>
      <c r="I5" s="476" t="s">
        <v>40</v>
      </c>
      <c r="J5" s="477"/>
      <c r="K5" s="478"/>
      <c r="L5" s="476" t="s">
        <v>43</v>
      </c>
      <c r="M5" s="477"/>
      <c r="N5" s="478"/>
      <c r="O5" s="476" t="s">
        <v>45</v>
      </c>
      <c r="P5" s="477"/>
      <c r="Q5" s="478"/>
      <c r="R5" s="476" t="s">
        <v>47</v>
      </c>
      <c r="S5" s="477"/>
      <c r="T5" s="478"/>
      <c r="U5" s="476" t="s">
        <v>49</v>
      </c>
      <c r="V5" s="477"/>
      <c r="W5" s="478"/>
      <c r="X5" s="476" t="s">
        <v>50</v>
      </c>
      <c r="Y5" s="477"/>
      <c r="Z5" s="478"/>
      <c r="AA5" s="476" t="s">
        <v>51</v>
      </c>
      <c r="AB5" s="477"/>
      <c r="AC5" s="478"/>
      <c r="AD5" s="476" t="s">
        <v>52</v>
      </c>
      <c r="AE5" s="477"/>
      <c r="AF5" s="478"/>
      <c r="AG5" s="476" t="s">
        <v>53</v>
      </c>
      <c r="AH5" s="477"/>
      <c r="AI5" s="478"/>
      <c r="AJ5" s="476" t="s">
        <v>54</v>
      </c>
      <c r="AK5" s="477"/>
      <c r="AL5" s="478"/>
      <c r="AM5" s="479" t="s">
        <v>2</v>
      </c>
    </row>
    <row r="6" spans="1:41" s="59" customFormat="1" ht="49.5" customHeight="1">
      <c r="A6" s="468"/>
      <c r="B6" s="469"/>
      <c r="C6" s="469"/>
      <c r="D6" s="60" t="s">
        <v>60</v>
      </c>
      <c r="E6" s="60" t="s">
        <v>27</v>
      </c>
      <c r="F6" s="60" t="s">
        <v>60</v>
      </c>
      <c r="G6" s="60" t="s">
        <v>61</v>
      </c>
      <c r="H6" s="60" t="s">
        <v>39</v>
      </c>
      <c r="I6" s="60" t="s">
        <v>60</v>
      </c>
      <c r="J6" s="60" t="s">
        <v>61</v>
      </c>
      <c r="K6" s="60" t="s">
        <v>42</v>
      </c>
      <c r="L6" s="60" t="s">
        <v>60</v>
      </c>
      <c r="M6" s="60" t="s">
        <v>61</v>
      </c>
      <c r="N6" s="60" t="s">
        <v>44</v>
      </c>
      <c r="O6" s="60" t="s">
        <v>60</v>
      </c>
      <c r="P6" s="60" t="s">
        <v>61</v>
      </c>
      <c r="Q6" s="60" t="s">
        <v>46</v>
      </c>
      <c r="R6" s="60" t="s">
        <v>60</v>
      </c>
      <c r="S6" s="60" t="s">
        <v>61</v>
      </c>
      <c r="T6" s="60" t="s">
        <v>48</v>
      </c>
      <c r="U6" s="60" t="s">
        <v>60</v>
      </c>
      <c r="V6" s="60" t="s">
        <v>61</v>
      </c>
      <c r="W6" s="60" t="s">
        <v>55</v>
      </c>
      <c r="X6" s="60" t="s">
        <v>60</v>
      </c>
      <c r="Y6" s="60" t="s">
        <v>61</v>
      </c>
      <c r="Z6" s="60" t="s">
        <v>56</v>
      </c>
      <c r="AA6" s="60" t="s">
        <v>60</v>
      </c>
      <c r="AB6" s="60" t="s">
        <v>61</v>
      </c>
      <c r="AC6" s="60" t="s">
        <v>57</v>
      </c>
      <c r="AD6" s="60" t="s">
        <v>60</v>
      </c>
      <c r="AE6" s="60" t="s">
        <v>61</v>
      </c>
      <c r="AF6" s="60" t="s">
        <v>58</v>
      </c>
      <c r="AG6" s="60" t="s">
        <v>60</v>
      </c>
      <c r="AH6" s="60" t="s">
        <v>61</v>
      </c>
      <c r="AI6" s="60" t="s">
        <v>26</v>
      </c>
      <c r="AJ6" s="60" t="s">
        <v>60</v>
      </c>
      <c r="AK6" s="60" t="s">
        <v>61</v>
      </c>
      <c r="AL6" s="60" t="s">
        <v>59</v>
      </c>
      <c r="AM6" s="479"/>
    </row>
    <row r="7" spans="1:4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>
        <v>10</v>
      </c>
    </row>
    <row r="8" spans="1:41">
      <c r="A8" s="12" t="s">
        <v>147</v>
      </c>
      <c r="B8" s="67" t="s">
        <v>148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O8" s="17"/>
    </row>
    <row r="9" spans="1:41">
      <c r="A9" s="18" t="s">
        <v>12</v>
      </c>
      <c r="B9" s="480" t="s">
        <v>16</v>
      </c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</row>
    <row r="10" spans="1:41">
      <c r="A10" s="61">
        <v>1</v>
      </c>
      <c r="B10" s="93" t="s">
        <v>63</v>
      </c>
      <c r="C10" s="94"/>
      <c r="D10" s="63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6"/>
    </row>
    <row r="11" spans="1:41">
      <c r="A11" s="62"/>
      <c r="B11" s="65" t="s">
        <v>64</v>
      </c>
      <c r="C11" s="66" t="s">
        <v>76</v>
      </c>
      <c r="D11" s="109">
        <f t="shared" ref="D11:K11" si="0">D13+D14</f>
        <v>462420</v>
      </c>
      <c r="E11" s="109">
        <f t="shared" si="0"/>
        <v>469102</v>
      </c>
      <c r="F11" s="109">
        <f t="shared" si="0"/>
        <v>462420</v>
      </c>
      <c r="G11" s="109">
        <f t="shared" si="0"/>
        <v>469102</v>
      </c>
      <c r="H11" s="109">
        <f t="shared" si="0"/>
        <v>469102</v>
      </c>
      <c r="I11" s="109">
        <f>I13+I14</f>
        <v>462629</v>
      </c>
      <c r="J11" s="109">
        <f t="shared" si="0"/>
        <v>469102</v>
      </c>
      <c r="K11" s="109">
        <f t="shared" si="0"/>
        <v>469102</v>
      </c>
      <c r="L11" s="109">
        <f t="shared" ref="L11" si="1">L13+L14</f>
        <v>462629</v>
      </c>
      <c r="M11" s="109">
        <f t="shared" ref="M11:O11" si="2">M13+M14</f>
        <v>469102</v>
      </c>
      <c r="N11" s="109">
        <f t="shared" si="2"/>
        <v>469102</v>
      </c>
      <c r="O11" s="109">
        <f t="shared" si="2"/>
        <v>462629</v>
      </c>
      <c r="P11" s="109">
        <f t="shared" ref="P11:Q11" si="3">P13+P14</f>
        <v>469102</v>
      </c>
      <c r="Q11" s="109">
        <f t="shared" si="3"/>
        <v>469102</v>
      </c>
      <c r="R11" s="109">
        <v>462629</v>
      </c>
      <c r="S11" s="109">
        <f t="shared" ref="S11:T11" si="4">S13+S14</f>
        <v>469102</v>
      </c>
      <c r="T11" s="109">
        <f t="shared" si="4"/>
        <v>469102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32"/>
    </row>
    <row r="12" spans="1:41">
      <c r="A12" s="62"/>
      <c r="B12" s="167" t="s">
        <v>65</v>
      </c>
      <c r="C12" s="66"/>
      <c r="D12" s="99"/>
      <c r="E12" s="109"/>
      <c r="F12" s="99"/>
      <c r="G12" s="109"/>
      <c r="H12" s="109"/>
      <c r="I12" s="99"/>
      <c r="J12" s="109"/>
      <c r="K12" s="109"/>
      <c r="L12" s="99"/>
      <c r="M12" s="109"/>
      <c r="N12" s="109"/>
      <c r="O12" s="99"/>
      <c r="P12" s="109"/>
      <c r="Q12" s="109"/>
      <c r="R12" s="99"/>
      <c r="S12" s="109"/>
      <c r="T12" s="109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32"/>
    </row>
    <row r="13" spans="1:41">
      <c r="A13" s="62"/>
      <c r="B13" s="167" t="s">
        <v>66</v>
      </c>
      <c r="C13" s="66" t="s">
        <v>76</v>
      </c>
      <c r="D13" s="99">
        <v>82594</v>
      </c>
      <c r="E13" s="109">
        <v>84161</v>
      </c>
      <c r="F13" s="99">
        <v>82594</v>
      </c>
      <c r="G13" s="109">
        <v>84161</v>
      </c>
      <c r="H13" s="109">
        <v>84161</v>
      </c>
      <c r="I13" s="99">
        <v>82594</v>
      </c>
      <c r="J13" s="109">
        <v>84161</v>
      </c>
      <c r="K13" s="109">
        <v>84161</v>
      </c>
      <c r="L13" s="99">
        <v>82594</v>
      </c>
      <c r="M13" s="109">
        <v>84161</v>
      </c>
      <c r="N13" s="109">
        <v>84161</v>
      </c>
      <c r="O13" s="99">
        <v>82594</v>
      </c>
      <c r="P13" s="109">
        <v>84161</v>
      </c>
      <c r="Q13" s="109">
        <v>84161</v>
      </c>
      <c r="R13" s="99">
        <v>82594</v>
      </c>
      <c r="S13" s="109">
        <v>84161</v>
      </c>
      <c r="T13" s="109">
        <v>84161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32"/>
    </row>
    <row r="14" spans="1:41">
      <c r="A14" s="62"/>
      <c r="B14" s="167" t="s">
        <v>67</v>
      </c>
      <c r="C14" s="66" t="s">
        <v>76</v>
      </c>
      <c r="D14" s="99">
        <v>379826</v>
      </c>
      <c r="E14" s="109">
        <v>384941</v>
      </c>
      <c r="F14" s="99">
        <v>379826</v>
      </c>
      <c r="G14" s="109">
        <v>384941</v>
      </c>
      <c r="H14" s="109">
        <v>384941</v>
      </c>
      <c r="I14" s="99">
        <v>380035</v>
      </c>
      <c r="J14" s="109">
        <v>384941</v>
      </c>
      <c r="K14" s="109">
        <v>384941</v>
      </c>
      <c r="L14" s="99">
        <v>380035</v>
      </c>
      <c r="M14" s="109">
        <v>384941</v>
      </c>
      <c r="N14" s="109">
        <v>384941</v>
      </c>
      <c r="O14" s="99">
        <v>380035</v>
      </c>
      <c r="P14" s="109">
        <v>384941</v>
      </c>
      <c r="Q14" s="109">
        <v>384941</v>
      </c>
      <c r="R14" s="99">
        <v>380035</v>
      </c>
      <c r="S14" s="109">
        <v>384941</v>
      </c>
      <c r="T14" s="109">
        <v>384941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32"/>
    </row>
    <row r="15" spans="1:41">
      <c r="A15" s="62"/>
      <c r="B15" s="167" t="s">
        <v>68</v>
      </c>
      <c r="C15" s="66" t="s">
        <v>76</v>
      </c>
      <c r="D15" s="99">
        <v>391371</v>
      </c>
      <c r="E15" s="109">
        <v>397043</v>
      </c>
      <c r="F15" s="99">
        <v>391371</v>
      </c>
      <c r="G15" s="109">
        <v>397043</v>
      </c>
      <c r="H15" s="109">
        <v>397043</v>
      </c>
      <c r="I15" s="99">
        <v>390371</v>
      </c>
      <c r="J15" s="109">
        <v>397043</v>
      </c>
      <c r="K15" s="109">
        <v>397043</v>
      </c>
      <c r="L15" s="99">
        <v>390371</v>
      </c>
      <c r="M15" s="109">
        <v>397043</v>
      </c>
      <c r="N15" s="109">
        <v>397043</v>
      </c>
      <c r="O15" s="99">
        <v>390371</v>
      </c>
      <c r="P15" s="109">
        <v>397043</v>
      </c>
      <c r="Q15" s="109">
        <v>397043</v>
      </c>
      <c r="R15" s="99">
        <v>390371</v>
      </c>
      <c r="S15" s="109">
        <v>397043</v>
      </c>
      <c r="T15" s="109">
        <v>397043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32"/>
    </row>
    <row r="16" spans="1:41" ht="15.75" customHeight="1">
      <c r="A16" s="62"/>
      <c r="B16" s="167" t="s">
        <v>69</v>
      </c>
      <c r="C16" s="66" t="s">
        <v>77</v>
      </c>
      <c r="D16" s="28"/>
      <c r="E16" s="28"/>
      <c r="F16" s="28"/>
      <c r="G16" s="28"/>
      <c r="H16" s="28"/>
      <c r="I16" s="27">
        <v>2.04</v>
      </c>
      <c r="J16" s="27"/>
      <c r="K16" s="27">
        <v>0.36</v>
      </c>
      <c r="L16" s="27"/>
      <c r="M16" s="27"/>
      <c r="N16" s="27"/>
      <c r="O16" s="27"/>
      <c r="P16" s="27"/>
      <c r="Q16" s="27"/>
      <c r="R16" s="27">
        <v>2.04</v>
      </c>
      <c r="S16" s="27"/>
      <c r="T16" s="27">
        <v>0.75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32"/>
    </row>
    <row r="17" spans="1:39" ht="15.75" customHeight="1">
      <c r="A17" s="62"/>
      <c r="B17" s="167" t="s">
        <v>70</v>
      </c>
      <c r="C17" s="66" t="s">
        <v>78</v>
      </c>
      <c r="D17" s="28"/>
      <c r="E17" s="28"/>
      <c r="F17" s="28"/>
      <c r="G17" s="28"/>
      <c r="H17" s="28"/>
      <c r="I17" s="27">
        <v>0.86</v>
      </c>
      <c r="J17" s="27"/>
      <c r="K17" s="27">
        <v>0.6</v>
      </c>
      <c r="L17" s="27"/>
      <c r="M17" s="27"/>
      <c r="N17" s="27"/>
      <c r="O17" s="27"/>
      <c r="P17" s="27"/>
      <c r="Q17" s="27"/>
      <c r="R17" s="27">
        <v>0.86</v>
      </c>
      <c r="S17" s="27"/>
      <c r="T17" s="27">
        <v>0.55000000000000004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32"/>
    </row>
    <row r="18" spans="1:39" ht="15.75" customHeight="1">
      <c r="A18" s="62"/>
      <c r="B18" s="167" t="s">
        <v>71</v>
      </c>
      <c r="C18" s="66" t="s">
        <v>79</v>
      </c>
      <c r="D18" s="28"/>
      <c r="E18" s="28"/>
      <c r="F18" s="28"/>
      <c r="G18" s="28"/>
      <c r="H18" s="28"/>
      <c r="I18" s="27">
        <v>15.75</v>
      </c>
      <c r="J18" s="27"/>
      <c r="K18" s="27">
        <v>3.86</v>
      </c>
      <c r="L18" s="27"/>
      <c r="M18" s="27"/>
      <c r="N18" s="27"/>
      <c r="O18" s="27"/>
      <c r="P18" s="27"/>
      <c r="Q18" s="27"/>
      <c r="R18" s="27">
        <v>15.75</v>
      </c>
      <c r="S18" s="27"/>
      <c r="T18" s="27">
        <v>7.78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32"/>
    </row>
    <row r="19" spans="1:39" ht="30" customHeight="1">
      <c r="A19" s="62"/>
      <c r="B19" s="167" t="s">
        <v>72</v>
      </c>
      <c r="C19" s="66" t="s">
        <v>77</v>
      </c>
      <c r="D19" s="28"/>
      <c r="E19" s="28"/>
      <c r="F19" s="28"/>
      <c r="G19" s="28"/>
      <c r="H19" s="28"/>
      <c r="I19" s="58">
        <v>109.06</v>
      </c>
      <c r="J19" s="58"/>
      <c r="K19" s="58">
        <v>108</v>
      </c>
      <c r="L19" s="58"/>
      <c r="M19" s="58"/>
      <c r="N19" s="58"/>
      <c r="O19" s="58"/>
      <c r="P19" s="58"/>
      <c r="Q19" s="58"/>
      <c r="R19" s="58">
        <v>109.06</v>
      </c>
      <c r="S19" s="58"/>
      <c r="T19" s="58">
        <v>110</v>
      </c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34"/>
    </row>
    <row r="20" spans="1:39" ht="15.75" customHeight="1">
      <c r="A20" s="62">
        <v>2</v>
      </c>
      <c r="B20" s="168" t="s">
        <v>73</v>
      </c>
      <c r="C20" s="66"/>
      <c r="D20" s="28"/>
      <c r="E20" s="28"/>
      <c r="F20" s="28"/>
      <c r="G20" s="28"/>
      <c r="H20" s="2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34"/>
    </row>
    <row r="21" spans="1:39" ht="25.5" customHeight="1">
      <c r="A21" s="62"/>
      <c r="B21" s="167" t="s">
        <v>74</v>
      </c>
      <c r="C21" s="66" t="s">
        <v>77</v>
      </c>
      <c r="D21" s="28"/>
      <c r="E21" s="28"/>
      <c r="F21" s="28"/>
      <c r="G21" s="28"/>
      <c r="H21" s="28"/>
      <c r="I21" s="58">
        <v>70.19</v>
      </c>
      <c r="J21" s="58"/>
      <c r="K21" s="58">
        <v>70</v>
      </c>
      <c r="L21" s="58"/>
      <c r="M21" s="58"/>
      <c r="N21" s="58"/>
      <c r="O21" s="58"/>
      <c r="P21" s="58"/>
      <c r="Q21" s="58"/>
      <c r="R21" s="58">
        <v>70.19</v>
      </c>
      <c r="S21" s="58"/>
      <c r="T21" s="58">
        <v>69.5</v>
      </c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36"/>
    </row>
    <row r="22" spans="1:39" ht="34.5" customHeight="1">
      <c r="A22" s="68"/>
      <c r="B22" s="169" t="s">
        <v>75</v>
      </c>
      <c r="C22" s="70" t="s">
        <v>77</v>
      </c>
      <c r="D22" s="143"/>
      <c r="E22" s="143"/>
      <c r="F22" s="143"/>
      <c r="G22" s="143"/>
      <c r="H22" s="143"/>
      <c r="I22" s="71">
        <v>16.09</v>
      </c>
      <c r="J22" s="71"/>
      <c r="K22" s="71">
        <v>15.5</v>
      </c>
      <c r="L22" s="71"/>
      <c r="M22" s="71"/>
      <c r="N22" s="71"/>
      <c r="O22" s="71"/>
      <c r="P22" s="71"/>
      <c r="Q22" s="71"/>
      <c r="R22" s="71">
        <v>16.09</v>
      </c>
      <c r="S22" s="71"/>
      <c r="T22" s="71">
        <v>15.7</v>
      </c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2"/>
    </row>
    <row r="23" spans="1:39" s="146" customFormat="1">
      <c r="A23" s="74" t="s">
        <v>6</v>
      </c>
      <c r="B23" s="75" t="s">
        <v>18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5"/>
    </row>
    <row r="24" spans="1:39">
      <c r="A24" s="89" t="s">
        <v>12</v>
      </c>
      <c r="B24" s="170" t="s">
        <v>80</v>
      </c>
      <c r="C24" s="89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73"/>
    </row>
    <row r="25" spans="1:39">
      <c r="A25" s="79">
        <v>1</v>
      </c>
      <c r="B25" s="171" t="s">
        <v>81</v>
      </c>
      <c r="C25" s="79" t="s">
        <v>82</v>
      </c>
      <c r="D25" s="58">
        <f>SUM(D26:D32)</f>
        <v>122</v>
      </c>
      <c r="E25" s="58">
        <f>SUM(E26:E32)</f>
        <v>122</v>
      </c>
      <c r="F25" s="58">
        <f>D25</f>
        <v>122</v>
      </c>
      <c r="G25" s="58">
        <f>SUM(G26:G32)</f>
        <v>122</v>
      </c>
      <c r="H25" s="58">
        <f>SUM(H26:H32)</f>
        <v>122</v>
      </c>
      <c r="I25" s="117">
        <f>G25</f>
        <v>122</v>
      </c>
      <c r="J25" s="117">
        <f t="shared" ref="J25:K25" si="5">SUM(J26:J32)</f>
        <v>122</v>
      </c>
      <c r="K25" s="117">
        <f t="shared" si="5"/>
        <v>122</v>
      </c>
      <c r="L25" s="117">
        <f>J25</f>
        <v>122</v>
      </c>
      <c r="M25" s="117">
        <f t="shared" ref="M25:N25" si="6">SUM(M26:M32)</f>
        <v>122</v>
      </c>
      <c r="N25" s="117">
        <f t="shared" si="6"/>
        <v>122</v>
      </c>
      <c r="O25" s="117">
        <f>M25</f>
        <v>122</v>
      </c>
      <c r="P25" s="117">
        <f t="shared" ref="P25:Q25" si="7">SUM(P26:P32)</f>
        <v>120</v>
      </c>
      <c r="Q25" s="117">
        <f t="shared" si="7"/>
        <v>120</v>
      </c>
      <c r="R25" s="58">
        <v>122</v>
      </c>
      <c r="S25" s="58">
        <v>120</v>
      </c>
      <c r="T25" s="58">
        <v>120</v>
      </c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36"/>
    </row>
    <row r="26" spans="1:39">
      <c r="A26" s="80"/>
      <c r="B26" s="172" t="s">
        <v>83</v>
      </c>
      <c r="C26" s="80" t="s">
        <v>84</v>
      </c>
      <c r="D26" s="58">
        <v>1</v>
      </c>
      <c r="E26" s="58">
        <v>1</v>
      </c>
      <c r="F26" s="58">
        <f t="shared" ref="F26:F40" si="8">D26</f>
        <v>1</v>
      </c>
      <c r="G26" s="58">
        <v>1</v>
      </c>
      <c r="H26" s="58">
        <v>1</v>
      </c>
      <c r="I26" s="117">
        <f t="shared" ref="I26:I38" si="9">G26</f>
        <v>1</v>
      </c>
      <c r="J26" s="117">
        <v>1</v>
      </c>
      <c r="K26" s="117">
        <v>1</v>
      </c>
      <c r="L26" s="117">
        <f t="shared" ref="L26:L38" si="10">J26</f>
        <v>1</v>
      </c>
      <c r="M26" s="117">
        <v>1</v>
      </c>
      <c r="N26" s="117">
        <v>1</v>
      </c>
      <c r="O26" s="117">
        <f t="shared" ref="O26:O33" si="11">M26</f>
        <v>1</v>
      </c>
      <c r="P26" s="117">
        <v>1</v>
      </c>
      <c r="Q26" s="117">
        <v>1</v>
      </c>
      <c r="R26" s="58">
        <v>1</v>
      </c>
      <c r="S26" s="58">
        <v>1</v>
      </c>
      <c r="T26" s="58">
        <v>1</v>
      </c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36"/>
    </row>
    <row r="27" spans="1:39">
      <c r="A27" s="80"/>
      <c r="B27" s="172" t="s">
        <v>85</v>
      </c>
      <c r="C27" s="80" t="s">
        <v>84</v>
      </c>
      <c r="D27" s="58">
        <v>2</v>
      </c>
      <c r="E27" s="58">
        <v>2</v>
      </c>
      <c r="F27" s="58">
        <f t="shared" si="8"/>
        <v>2</v>
      </c>
      <c r="G27" s="58">
        <v>2</v>
      </c>
      <c r="H27" s="58">
        <v>2</v>
      </c>
      <c r="I27" s="117">
        <f t="shared" si="9"/>
        <v>2</v>
      </c>
      <c r="J27" s="117">
        <v>2</v>
      </c>
      <c r="K27" s="117">
        <v>2</v>
      </c>
      <c r="L27" s="117">
        <f t="shared" si="10"/>
        <v>2</v>
      </c>
      <c r="M27" s="117">
        <v>2</v>
      </c>
      <c r="N27" s="117">
        <v>2</v>
      </c>
      <c r="O27" s="117">
        <f t="shared" si="11"/>
        <v>2</v>
      </c>
      <c r="P27" s="117">
        <v>2</v>
      </c>
      <c r="Q27" s="117">
        <v>2</v>
      </c>
      <c r="R27" s="58">
        <v>2</v>
      </c>
      <c r="S27" s="58">
        <v>2</v>
      </c>
      <c r="T27" s="58">
        <v>2</v>
      </c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36"/>
    </row>
    <row r="28" spans="1:39">
      <c r="A28" s="80"/>
      <c r="B28" s="173" t="s">
        <v>156</v>
      </c>
      <c r="C28" s="80" t="s">
        <v>87</v>
      </c>
      <c r="D28" s="58">
        <v>1</v>
      </c>
      <c r="E28" s="58">
        <v>1</v>
      </c>
      <c r="F28" s="58">
        <f t="shared" si="8"/>
        <v>1</v>
      </c>
      <c r="G28" s="58">
        <v>1</v>
      </c>
      <c r="H28" s="58">
        <v>1</v>
      </c>
      <c r="I28" s="117">
        <f t="shared" si="9"/>
        <v>1</v>
      </c>
      <c r="J28" s="117">
        <v>1</v>
      </c>
      <c r="K28" s="117">
        <v>1</v>
      </c>
      <c r="L28" s="117">
        <f t="shared" si="10"/>
        <v>1</v>
      </c>
      <c r="M28" s="117">
        <v>1</v>
      </c>
      <c r="N28" s="117">
        <v>1</v>
      </c>
      <c r="O28" s="117">
        <f t="shared" si="11"/>
        <v>1</v>
      </c>
      <c r="P28" s="117">
        <v>1</v>
      </c>
      <c r="Q28" s="117">
        <v>1</v>
      </c>
      <c r="R28" s="58">
        <v>1</v>
      </c>
      <c r="S28" s="58">
        <v>1</v>
      </c>
      <c r="T28" s="58">
        <v>1</v>
      </c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36"/>
    </row>
    <row r="29" spans="1:39">
      <c r="A29" s="80"/>
      <c r="B29" s="172" t="s">
        <v>157</v>
      </c>
      <c r="C29" s="80" t="s">
        <v>87</v>
      </c>
      <c r="D29" s="58">
        <v>8</v>
      </c>
      <c r="E29" s="58">
        <v>8</v>
      </c>
      <c r="F29" s="58">
        <f t="shared" si="8"/>
        <v>8</v>
      </c>
      <c r="G29" s="58">
        <v>8</v>
      </c>
      <c r="H29" s="58">
        <v>8</v>
      </c>
      <c r="I29" s="117">
        <f t="shared" si="9"/>
        <v>8</v>
      </c>
      <c r="J29" s="117">
        <v>8</v>
      </c>
      <c r="K29" s="117">
        <v>8</v>
      </c>
      <c r="L29" s="117">
        <f t="shared" si="10"/>
        <v>8</v>
      </c>
      <c r="M29" s="117">
        <v>8</v>
      </c>
      <c r="N29" s="117">
        <v>8</v>
      </c>
      <c r="O29" s="117">
        <f t="shared" si="11"/>
        <v>8</v>
      </c>
      <c r="P29" s="117">
        <v>8</v>
      </c>
      <c r="Q29" s="117">
        <v>8</v>
      </c>
      <c r="R29" s="58">
        <v>8</v>
      </c>
      <c r="S29" s="58">
        <v>8</v>
      </c>
      <c r="T29" s="58">
        <v>8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36"/>
    </row>
    <row r="30" spans="1:39">
      <c r="A30" s="80"/>
      <c r="B30" s="173" t="s">
        <v>151</v>
      </c>
      <c r="C30" s="80" t="s">
        <v>87</v>
      </c>
      <c r="D30" s="58">
        <v>1</v>
      </c>
      <c r="E30" s="58">
        <v>1</v>
      </c>
      <c r="F30" s="58">
        <f t="shared" si="8"/>
        <v>1</v>
      </c>
      <c r="G30" s="58">
        <v>1</v>
      </c>
      <c r="H30" s="58">
        <v>1</v>
      </c>
      <c r="I30" s="117">
        <f t="shared" si="9"/>
        <v>1</v>
      </c>
      <c r="J30" s="117">
        <v>1</v>
      </c>
      <c r="K30" s="117">
        <v>1</v>
      </c>
      <c r="L30" s="117">
        <f t="shared" si="10"/>
        <v>1</v>
      </c>
      <c r="M30" s="117">
        <v>1</v>
      </c>
      <c r="N30" s="117">
        <v>1</v>
      </c>
      <c r="O30" s="117">
        <f t="shared" si="11"/>
        <v>1</v>
      </c>
      <c r="P30" s="117">
        <v>1</v>
      </c>
      <c r="Q30" s="117">
        <v>1</v>
      </c>
      <c r="R30" s="58">
        <v>1</v>
      </c>
      <c r="S30" s="58">
        <v>1</v>
      </c>
      <c r="T30" s="58">
        <v>1</v>
      </c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36"/>
    </row>
    <row r="31" spans="1:39">
      <c r="A31" s="80"/>
      <c r="B31" s="106" t="s">
        <v>88</v>
      </c>
      <c r="C31" s="80" t="s">
        <v>89</v>
      </c>
      <c r="D31" s="58">
        <v>4</v>
      </c>
      <c r="E31" s="58">
        <v>4</v>
      </c>
      <c r="F31" s="58">
        <f t="shared" si="8"/>
        <v>4</v>
      </c>
      <c r="G31" s="58">
        <v>4</v>
      </c>
      <c r="H31" s="58">
        <v>4</v>
      </c>
      <c r="I31" s="117">
        <f t="shared" si="9"/>
        <v>4</v>
      </c>
      <c r="J31" s="117">
        <v>4</v>
      </c>
      <c r="K31" s="117">
        <v>4</v>
      </c>
      <c r="L31" s="117">
        <f t="shared" si="10"/>
        <v>4</v>
      </c>
      <c r="M31" s="117">
        <v>4</v>
      </c>
      <c r="N31" s="117">
        <v>4</v>
      </c>
      <c r="O31" s="117">
        <f t="shared" si="11"/>
        <v>4</v>
      </c>
      <c r="P31" s="117">
        <v>4</v>
      </c>
      <c r="Q31" s="117">
        <v>4</v>
      </c>
      <c r="R31" s="58">
        <v>4</v>
      </c>
      <c r="S31" s="58">
        <v>4</v>
      </c>
      <c r="T31" s="58">
        <v>4</v>
      </c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36"/>
    </row>
    <row r="32" spans="1:39">
      <c r="A32" s="80"/>
      <c r="B32" s="106" t="s">
        <v>90</v>
      </c>
      <c r="C32" s="80" t="s">
        <v>91</v>
      </c>
      <c r="D32" s="58">
        <v>105</v>
      </c>
      <c r="E32" s="58">
        <v>105</v>
      </c>
      <c r="F32" s="58">
        <f t="shared" si="8"/>
        <v>105</v>
      </c>
      <c r="G32" s="58">
        <v>105</v>
      </c>
      <c r="H32" s="58">
        <v>105</v>
      </c>
      <c r="I32" s="117">
        <f t="shared" si="9"/>
        <v>105</v>
      </c>
      <c r="J32" s="117">
        <v>105</v>
      </c>
      <c r="K32" s="117">
        <v>105</v>
      </c>
      <c r="L32" s="117">
        <f t="shared" si="10"/>
        <v>105</v>
      </c>
      <c r="M32" s="117">
        <v>105</v>
      </c>
      <c r="N32" s="117">
        <v>105</v>
      </c>
      <c r="O32" s="117">
        <f t="shared" si="11"/>
        <v>105</v>
      </c>
      <c r="P32" s="117">
        <v>103</v>
      </c>
      <c r="Q32" s="117">
        <v>103</v>
      </c>
      <c r="R32" s="58">
        <v>105</v>
      </c>
      <c r="S32" s="58">
        <v>103</v>
      </c>
      <c r="T32" s="58">
        <v>103</v>
      </c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36"/>
    </row>
    <row r="33" spans="1:41">
      <c r="A33" s="79">
        <v>2</v>
      </c>
      <c r="B33" s="171" t="s">
        <v>92</v>
      </c>
      <c r="C33" s="79" t="s">
        <v>82</v>
      </c>
      <c r="D33" s="58">
        <v>2</v>
      </c>
      <c r="E33" s="58">
        <v>2</v>
      </c>
      <c r="F33" s="58">
        <f t="shared" si="8"/>
        <v>2</v>
      </c>
      <c r="G33" s="58">
        <v>2</v>
      </c>
      <c r="H33" s="58">
        <v>2</v>
      </c>
      <c r="I33" s="117">
        <f t="shared" si="9"/>
        <v>2</v>
      </c>
      <c r="J33" s="117">
        <v>2</v>
      </c>
      <c r="K33" s="117">
        <v>2</v>
      </c>
      <c r="L33" s="117">
        <f t="shared" si="10"/>
        <v>2</v>
      </c>
      <c r="M33" s="117">
        <v>2</v>
      </c>
      <c r="N33" s="117">
        <v>2</v>
      </c>
      <c r="O33" s="117">
        <f t="shared" si="11"/>
        <v>2</v>
      </c>
      <c r="P33" s="117">
        <v>2</v>
      </c>
      <c r="Q33" s="117">
        <v>2</v>
      </c>
      <c r="R33" s="58">
        <v>2</v>
      </c>
      <c r="S33" s="58">
        <v>2</v>
      </c>
      <c r="T33" s="58">
        <v>2</v>
      </c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36"/>
    </row>
    <row r="34" spans="1:41">
      <c r="A34" s="79">
        <v>3</v>
      </c>
      <c r="B34" s="174" t="s">
        <v>93</v>
      </c>
      <c r="C34" s="79" t="s">
        <v>94</v>
      </c>
      <c r="D34" s="58">
        <f>D35+D36</f>
        <v>1450</v>
      </c>
      <c r="E34" s="58">
        <f>E35+E36</f>
        <v>1580</v>
      </c>
      <c r="F34" s="58">
        <f t="shared" si="8"/>
        <v>1450</v>
      </c>
      <c r="G34" s="58">
        <f>G35+G36</f>
        <v>1580</v>
      </c>
      <c r="H34" s="58">
        <f>H35+H36</f>
        <v>1580</v>
      </c>
      <c r="I34" s="117">
        <f>I35+I36</f>
        <v>1450</v>
      </c>
      <c r="J34" s="117">
        <f t="shared" ref="J34:K34" si="12">J35+J36</f>
        <v>1580</v>
      </c>
      <c r="K34" s="117">
        <f t="shared" si="12"/>
        <v>1580</v>
      </c>
      <c r="L34" s="117">
        <f>L35+L36</f>
        <v>1450</v>
      </c>
      <c r="M34" s="117">
        <f t="shared" ref="M34:N34" si="13">M35+M36</f>
        <v>1580</v>
      </c>
      <c r="N34" s="117">
        <f t="shared" si="13"/>
        <v>1580</v>
      </c>
      <c r="O34" s="117">
        <f>O35+O36</f>
        <v>1450</v>
      </c>
      <c r="P34" s="117">
        <f t="shared" ref="P34:Q34" si="14">P35+P36</f>
        <v>1580</v>
      </c>
      <c r="Q34" s="117">
        <f t="shared" si="14"/>
        <v>1580</v>
      </c>
      <c r="R34" s="58">
        <v>1450</v>
      </c>
      <c r="S34" s="58">
        <v>1580</v>
      </c>
      <c r="T34" s="58">
        <v>1580</v>
      </c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36"/>
    </row>
    <row r="35" spans="1:41">
      <c r="A35" s="79"/>
      <c r="B35" s="174" t="s">
        <v>95</v>
      </c>
      <c r="C35" s="79" t="s">
        <v>94</v>
      </c>
      <c r="D35" s="58">
        <v>590</v>
      </c>
      <c r="E35" s="58">
        <v>660</v>
      </c>
      <c r="F35" s="58">
        <f t="shared" si="8"/>
        <v>590</v>
      </c>
      <c r="G35" s="58">
        <v>660</v>
      </c>
      <c r="H35" s="58">
        <v>660</v>
      </c>
      <c r="I35" s="117">
        <v>590</v>
      </c>
      <c r="J35" s="117">
        <v>660</v>
      </c>
      <c r="K35" s="117">
        <v>660</v>
      </c>
      <c r="L35" s="117">
        <v>590</v>
      </c>
      <c r="M35" s="117">
        <v>660</v>
      </c>
      <c r="N35" s="117">
        <v>660</v>
      </c>
      <c r="O35" s="117">
        <v>590</v>
      </c>
      <c r="P35" s="117">
        <v>660</v>
      </c>
      <c r="Q35" s="117">
        <v>660</v>
      </c>
      <c r="R35" s="58">
        <v>590</v>
      </c>
      <c r="S35" s="58">
        <v>660</v>
      </c>
      <c r="T35" s="58">
        <v>660</v>
      </c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36"/>
    </row>
    <row r="36" spans="1:41">
      <c r="A36" s="79"/>
      <c r="B36" s="174" t="s">
        <v>96</v>
      </c>
      <c r="C36" s="79" t="s">
        <v>94</v>
      </c>
      <c r="D36" s="58">
        <f>D37+D38</f>
        <v>860</v>
      </c>
      <c r="E36" s="58">
        <f>E37+E38</f>
        <v>920</v>
      </c>
      <c r="F36" s="58">
        <f t="shared" si="8"/>
        <v>860</v>
      </c>
      <c r="G36" s="58">
        <f>G37+G38</f>
        <v>920</v>
      </c>
      <c r="H36" s="58">
        <f>H37+H38</f>
        <v>920</v>
      </c>
      <c r="I36" s="117">
        <v>860</v>
      </c>
      <c r="J36" s="117">
        <f t="shared" ref="J36:K36" si="15">J37+J38</f>
        <v>920</v>
      </c>
      <c r="K36" s="117">
        <f t="shared" si="15"/>
        <v>920</v>
      </c>
      <c r="L36" s="117">
        <v>860</v>
      </c>
      <c r="M36" s="117">
        <f t="shared" ref="M36:N36" si="16">M37+M38</f>
        <v>920</v>
      </c>
      <c r="N36" s="117">
        <f t="shared" si="16"/>
        <v>920</v>
      </c>
      <c r="O36" s="117">
        <v>860</v>
      </c>
      <c r="P36" s="117">
        <f t="shared" ref="P36:Q36" si="17">P37+P38</f>
        <v>920</v>
      </c>
      <c r="Q36" s="117">
        <f t="shared" si="17"/>
        <v>920</v>
      </c>
      <c r="R36" s="58">
        <v>860</v>
      </c>
      <c r="S36" s="58">
        <v>920</v>
      </c>
      <c r="T36" s="58">
        <v>920</v>
      </c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36"/>
    </row>
    <row r="37" spans="1:41">
      <c r="A37" s="80"/>
      <c r="B37" s="172" t="s">
        <v>97</v>
      </c>
      <c r="C37" s="79" t="s">
        <v>94</v>
      </c>
      <c r="D37" s="58">
        <v>800</v>
      </c>
      <c r="E37" s="58">
        <v>860</v>
      </c>
      <c r="F37" s="58">
        <f t="shared" si="8"/>
        <v>800</v>
      </c>
      <c r="G37" s="58">
        <v>860</v>
      </c>
      <c r="H37" s="58">
        <v>860</v>
      </c>
      <c r="I37" s="117">
        <v>800</v>
      </c>
      <c r="J37" s="117">
        <v>860</v>
      </c>
      <c r="K37" s="117">
        <v>860</v>
      </c>
      <c r="L37" s="117">
        <v>800</v>
      </c>
      <c r="M37" s="117">
        <v>860</v>
      </c>
      <c r="N37" s="117">
        <v>860</v>
      </c>
      <c r="O37" s="117">
        <v>800</v>
      </c>
      <c r="P37" s="117">
        <v>860</v>
      </c>
      <c r="Q37" s="117">
        <v>860</v>
      </c>
      <c r="R37" s="58">
        <v>800</v>
      </c>
      <c r="S37" s="58">
        <v>860</v>
      </c>
      <c r="T37" s="58">
        <v>860</v>
      </c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36"/>
    </row>
    <row r="38" spans="1:41">
      <c r="A38" s="80"/>
      <c r="B38" s="175" t="s">
        <v>150</v>
      </c>
      <c r="C38" s="80" t="s">
        <v>94</v>
      </c>
      <c r="D38" s="58">
        <v>60</v>
      </c>
      <c r="E38" s="58">
        <v>60</v>
      </c>
      <c r="F38" s="58">
        <f t="shared" si="8"/>
        <v>60</v>
      </c>
      <c r="G38" s="58">
        <v>60</v>
      </c>
      <c r="H38" s="58">
        <v>60</v>
      </c>
      <c r="I38" s="117">
        <f t="shared" si="9"/>
        <v>60</v>
      </c>
      <c r="J38" s="117">
        <v>60</v>
      </c>
      <c r="K38" s="117">
        <v>60</v>
      </c>
      <c r="L38" s="117">
        <f t="shared" si="10"/>
        <v>60</v>
      </c>
      <c r="M38" s="117">
        <v>60</v>
      </c>
      <c r="N38" s="117">
        <v>60</v>
      </c>
      <c r="O38" s="117">
        <f t="shared" ref="O38" si="18">M38</f>
        <v>60</v>
      </c>
      <c r="P38" s="117">
        <v>60</v>
      </c>
      <c r="Q38" s="117">
        <v>60</v>
      </c>
      <c r="R38" s="58">
        <v>60</v>
      </c>
      <c r="S38" s="58">
        <v>60</v>
      </c>
      <c r="T38" s="58">
        <v>60</v>
      </c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36"/>
    </row>
    <row r="39" spans="1:41" ht="22.5">
      <c r="A39" s="79">
        <v>4</v>
      </c>
      <c r="B39" s="171" t="s">
        <v>98</v>
      </c>
      <c r="C39" s="79" t="s">
        <v>94</v>
      </c>
      <c r="D39" s="100">
        <f>D34/D11*10000</f>
        <v>31.356775225985036</v>
      </c>
      <c r="E39" s="96">
        <f>E34/E11*10000</f>
        <v>33.68137420006736</v>
      </c>
      <c r="F39" s="96">
        <f t="shared" si="8"/>
        <v>31.356775225985036</v>
      </c>
      <c r="G39" s="111">
        <f>G34/G11*10000</f>
        <v>33.68137420006736</v>
      </c>
      <c r="H39" s="111">
        <f>H34/H11*10000</f>
        <v>33.68137420006736</v>
      </c>
      <c r="I39" s="117">
        <v>31.68</v>
      </c>
      <c r="J39" s="111">
        <f t="shared" ref="J39:K39" si="19">J34/J11*10000</f>
        <v>33.68137420006736</v>
      </c>
      <c r="K39" s="111">
        <f t="shared" si="19"/>
        <v>33.68137420006736</v>
      </c>
      <c r="L39" s="117">
        <v>31.68</v>
      </c>
      <c r="M39" s="111">
        <f t="shared" ref="M39:N39" si="20">M34/M11*10000</f>
        <v>33.68137420006736</v>
      </c>
      <c r="N39" s="111">
        <f t="shared" si="20"/>
        <v>33.68137420006736</v>
      </c>
      <c r="O39" s="117">
        <v>31.68</v>
      </c>
      <c r="P39" s="111">
        <f t="shared" ref="P39:Q39" si="21">P34/P11*10000</f>
        <v>33.68137420006736</v>
      </c>
      <c r="Q39" s="111">
        <f t="shared" si="21"/>
        <v>33.68137420006736</v>
      </c>
      <c r="R39" s="58">
        <v>31.68</v>
      </c>
      <c r="S39" s="96">
        <v>33.68137420006736</v>
      </c>
      <c r="T39" s="96">
        <v>33.68137420006736</v>
      </c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36"/>
    </row>
    <row r="40" spans="1:41" ht="22.5">
      <c r="A40" s="80"/>
      <c r="B40" s="176" t="s">
        <v>99</v>
      </c>
      <c r="C40" s="80" t="s">
        <v>100</v>
      </c>
      <c r="D40" s="97">
        <f>D39</f>
        <v>31.356775225985036</v>
      </c>
      <c r="E40" s="97">
        <f>E39</f>
        <v>33.68137420006736</v>
      </c>
      <c r="F40" s="96">
        <f t="shared" si="8"/>
        <v>31.356775225985036</v>
      </c>
      <c r="G40" s="112">
        <f>G39</f>
        <v>33.68137420006736</v>
      </c>
      <c r="H40" s="112">
        <f>H39</f>
        <v>33.68137420006736</v>
      </c>
      <c r="I40" s="117">
        <v>31.68</v>
      </c>
      <c r="J40" s="112">
        <f t="shared" ref="J40:K40" si="22">J39</f>
        <v>33.68137420006736</v>
      </c>
      <c r="K40" s="112">
        <f t="shared" si="22"/>
        <v>33.68137420006736</v>
      </c>
      <c r="L40" s="117">
        <v>31.68</v>
      </c>
      <c r="M40" s="112">
        <f t="shared" ref="M40:N40" si="23">M39</f>
        <v>33.68137420006736</v>
      </c>
      <c r="N40" s="112">
        <f t="shared" si="23"/>
        <v>33.68137420006736</v>
      </c>
      <c r="O40" s="117">
        <v>31.68</v>
      </c>
      <c r="P40" s="112">
        <f t="shared" ref="P40:Q40" si="24">P39</f>
        <v>33.68137420006736</v>
      </c>
      <c r="Q40" s="112">
        <f t="shared" si="24"/>
        <v>33.68137420006736</v>
      </c>
      <c r="R40" s="58">
        <v>31.68</v>
      </c>
      <c r="S40" s="96">
        <v>33.68137420006736</v>
      </c>
      <c r="T40" s="96">
        <v>33.68137420006736</v>
      </c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36"/>
    </row>
    <row r="41" spans="1:41">
      <c r="A41" s="77" t="s">
        <v>101</v>
      </c>
      <c r="B41" s="177" t="s">
        <v>102</v>
      </c>
      <c r="C41" s="77"/>
      <c r="D41" s="101"/>
      <c r="E41" s="101"/>
      <c r="F41" s="101"/>
      <c r="G41" s="101"/>
      <c r="H41" s="27"/>
      <c r="I41" s="101"/>
      <c r="J41" s="27"/>
      <c r="K41" s="27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36"/>
    </row>
    <row r="42" spans="1:41" ht="12.75" customHeight="1">
      <c r="A42" s="79">
        <v>1</v>
      </c>
      <c r="B42" s="171" t="s">
        <v>103</v>
      </c>
      <c r="C42" s="102" t="s">
        <v>76</v>
      </c>
      <c r="D42" s="108">
        <v>2842</v>
      </c>
      <c r="E42" s="108">
        <v>2829</v>
      </c>
      <c r="F42" s="108">
        <v>2842</v>
      </c>
      <c r="G42" s="108">
        <f>E42</f>
        <v>2829</v>
      </c>
      <c r="H42" s="108">
        <f>G42</f>
        <v>2829</v>
      </c>
      <c r="I42" s="108">
        <v>2842</v>
      </c>
      <c r="J42" s="108">
        <v>2827</v>
      </c>
      <c r="K42" s="108">
        <f t="shared" ref="K42" si="25">J42</f>
        <v>2827</v>
      </c>
      <c r="L42" s="108">
        <v>2842</v>
      </c>
      <c r="M42" s="108">
        <v>2796</v>
      </c>
      <c r="N42" s="108">
        <f t="shared" ref="N42" si="26">M42</f>
        <v>2796</v>
      </c>
      <c r="O42" s="108">
        <v>2842</v>
      </c>
      <c r="P42" s="108">
        <v>2796</v>
      </c>
      <c r="Q42" s="108">
        <f t="shared" ref="Q42" si="27">P42</f>
        <v>2796</v>
      </c>
      <c r="R42" s="108">
        <v>2842</v>
      </c>
      <c r="S42" s="108">
        <v>2796</v>
      </c>
      <c r="T42" s="58">
        <v>2796</v>
      </c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36"/>
    </row>
    <row r="43" spans="1:41">
      <c r="A43" s="79"/>
      <c r="B43" s="171" t="s">
        <v>104</v>
      </c>
      <c r="C43" s="10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36"/>
    </row>
    <row r="44" spans="1:41">
      <c r="A44" s="79" t="s">
        <v>105</v>
      </c>
      <c r="B44" s="171" t="s">
        <v>106</v>
      </c>
      <c r="C44" s="102" t="s">
        <v>76</v>
      </c>
      <c r="D44" s="28">
        <v>419</v>
      </c>
      <c r="E44" s="28">
        <v>430</v>
      </c>
      <c r="F44" s="28">
        <v>419</v>
      </c>
      <c r="G44" s="28">
        <f>E44</f>
        <v>430</v>
      </c>
      <c r="H44" s="27">
        <f>G44</f>
        <v>430</v>
      </c>
      <c r="I44" s="28">
        <v>419</v>
      </c>
      <c r="J44" s="27">
        <v>428</v>
      </c>
      <c r="K44" s="27">
        <f t="shared" ref="K44" si="28">J44</f>
        <v>428</v>
      </c>
      <c r="L44" s="28">
        <v>419</v>
      </c>
      <c r="M44" s="136">
        <v>428</v>
      </c>
      <c r="N44" s="136">
        <f t="shared" ref="N44" si="29">M44</f>
        <v>428</v>
      </c>
      <c r="O44" s="28">
        <v>419</v>
      </c>
      <c r="P44" s="155">
        <v>428</v>
      </c>
      <c r="Q44" s="155">
        <f t="shared" ref="Q44" si="30">P44</f>
        <v>428</v>
      </c>
      <c r="R44" s="28">
        <v>419</v>
      </c>
      <c r="S44" s="155">
        <v>427</v>
      </c>
      <c r="T44" s="58">
        <v>427</v>
      </c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36"/>
    </row>
    <row r="45" spans="1:41" ht="22.5">
      <c r="A45" s="80"/>
      <c r="B45" s="106" t="s">
        <v>107</v>
      </c>
      <c r="C45" s="103" t="s">
        <v>108</v>
      </c>
      <c r="D45" s="105">
        <f>D44/D11*10000</f>
        <v>9.061026772198435</v>
      </c>
      <c r="E45" s="105">
        <f t="shared" ref="E45:H45" si="31">E44/E11*10000</f>
        <v>9.1664499405246627</v>
      </c>
      <c r="F45" s="105">
        <f t="shared" si="31"/>
        <v>9.061026772198435</v>
      </c>
      <c r="G45" s="105">
        <f t="shared" si="31"/>
        <v>9.1664499405246627</v>
      </c>
      <c r="H45" s="105">
        <f t="shared" si="31"/>
        <v>9.1664499405246627</v>
      </c>
      <c r="I45" s="105">
        <f t="shared" ref="I45" si="32">I44/I11*10000</f>
        <v>9.0569333094120772</v>
      </c>
      <c r="J45" s="105">
        <f t="shared" ref="J45:L45" si="33">J44/J11*10000</f>
        <v>9.1238152896385021</v>
      </c>
      <c r="K45" s="105">
        <f t="shared" si="33"/>
        <v>9.1238152896385021</v>
      </c>
      <c r="L45" s="105">
        <f t="shared" si="33"/>
        <v>9.0569333094120772</v>
      </c>
      <c r="M45" s="105">
        <f t="shared" ref="M45:O45" si="34">M44/M11*10000</f>
        <v>9.1238152896385021</v>
      </c>
      <c r="N45" s="105">
        <f t="shared" si="34"/>
        <v>9.1238152896385021</v>
      </c>
      <c r="O45" s="105">
        <f t="shared" si="34"/>
        <v>9.0569333094120772</v>
      </c>
      <c r="P45" s="105">
        <f t="shared" ref="P45:R45" si="35">P44/P11*10000</f>
        <v>9.1238152896385021</v>
      </c>
      <c r="Q45" s="105">
        <f t="shared" si="35"/>
        <v>9.1238152896385021</v>
      </c>
      <c r="R45" s="105">
        <f t="shared" si="35"/>
        <v>9.0569333094120772</v>
      </c>
      <c r="S45" s="105">
        <f>S44/469102*10000</f>
        <v>9.10249796419542</v>
      </c>
      <c r="T45" s="96">
        <v>9.10249796419542</v>
      </c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36"/>
    </row>
    <row r="46" spans="1:41">
      <c r="A46" s="79" t="s">
        <v>109</v>
      </c>
      <c r="B46" s="171" t="s">
        <v>110</v>
      </c>
      <c r="C46" s="102" t="s">
        <v>76</v>
      </c>
      <c r="D46" s="28">
        <v>52</v>
      </c>
      <c r="E46" s="28">
        <v>59</v>
      </c>
      <c r="F46" s="28">
        <v>52</v>
      </c>
      <c r="G46" s="28">
        <f>E46</f>
        <v>59</v>
      </c>
      <c r="H46" s="27">
        <f>G46</f>
        <v>59</v>
      </c>
      <c r="I46" s="28">
        <v>52</v>
      </c>
      <c r="J46" s="27">
        <v>60</v>
      </c>
      <c r="K46" s="27">
        <f t="shared" ref="K46" si="36">J46</f>
        <v>60</v>
      </c>
      <c r="L46" s="28">
        <v>52</v>
      </c>
      <c r="M46" s="136">
        <v>60</v>
      </c>
      <c r="N46" s="136">
        <f t="shared" ref="N46" si="37">M46</f>
        <v>60</v>
      </c>
      <c r="O46" s="28">
        <v>52</v>
      </c>
      <c r="P46" s="155">
        <v>60</v>
      </c>
      <c r="Q46" s="155">
        <f t="shared" ref="Q46" si="38">P46</f>
        <v>60</v>
      </c>
      <c r="R46" s="28">
        <v>52</v>
      </c>
      <c r="S46" s="109">
        <v>60</v>
      </c>
      <c r="T46" s="58">
        <v>60</v>
      </c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36"/>
    </row>
    <row r="47" spans="1:41" ht="22.5">
      <c r="A47" s="80"/>
      <c r="B47" s="106" t="s">
        <v>111</v>
      </c>
      <c r="C47" s="103" t="s">
        <v>108</v>
      </c>
      <c r="D47" s="105">
        <f>D46/D11*10000</f>
        <v>1.1245188356904978</v>
      </c>
      <c r="E47" s="105">
        <f t="shared" ref="E47:H47" si="39">E46/E11*10000</f>
        <v>1.2577222011417559</v>
      </c>
      <c r="F47" s="105">
        <f t="shared" si="39"/>
        <v>1.1245188356904978</v>
      </c>
      <c r="G47" s="105">
        <f t="shared" si="39"/>
        <v>1.2577222011417559</v>
      </c>
      <c r="H47" s="105">
        <f t="shared" si="39"/>
        <v>1.2577222011417559</v>
      </c>
      <c r="I47" s="105">
        <f t="shared" ref="I47" si="40">I46/I11*10000</f>
        <v>1.1240108164425491</v>
      </c>
      <c r="J47" s="105">
        <f t="shared" ref="J47:L47" si="41">J46/J11*10000</f>
        <v>1.2790395265848367</v>
      </c>
      <c r="K47" s="105">
        <f t="shared" si="41"/>
        <v>1.2790395265848367</v>
      </c>
      <c r="L47" s="105">
        <f t="shared" si="41"/>
        <v>1.1240108164425491</v>
      </c>
      <c r="M47" s="105">
        <f t="shared" ref="M47:O47" si="42">M46/M11*10000</f>
        <v>1.2790395265848367</v>
      </c>
      <c r="N47" s="105">
        <f t="shared" si="42"/>
        <v>1.2790395265848367</v>
      </c>
      <c r="O47" s="105">
        <f t="shared" si="42"/>
        <v>1.1240108164425491</v>
      </c>
      <c r="P47" s="105">
        <f t="shared" ref="P47:R47" si="43">P46/P11*10000</f>
        <v>1.2790395265848367</v>
      </c>
      <c r="Q47" s="105">
        <f t="shared" si="43"/>
        <v>1.2790395265848367</v>
      </c>
      <c r="R47" s="105">
        <f t="shared" si="43"/>
        <v>1.1240108164425491</v>
      </c>
      <c r="S47" s="105">
        <f>S46/469102*10000</f>
        <v>1.2790395265848367</v>
      </c>
      <c r="T47" s="96">
        <v>1.2790395265848367</v>
      </c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36"/>
    </row>
    <row r="48" spans="1:41" ht="22.5">
      <c r="A48" s="79">
        <v>3</v>
      </c>
      <c r="B48" s="171" t="s">
        <v>112</v>
      </c>
      <c r="C48" s="102" t="s">
        <v>77</v>
      </c>
      <c r="D48" s="105">
        <f>19/108*100</f>
        <v>17.592592592592592</v>
      </c>
      <c r="E48" s="105">
        <f t="shared" ref="E48:I48" si="44">19/108*100</f>
        <v>17.592592592592592</v>
      </c>
      <c r="F48" s="105">
        <f t="shared" si="44"/>
        <v>17.592592592592592</v>
      </c>
      <c r="G48" s="105">
        <f t="shared" si="44"/>
        <v>17.592592592592592</v>
      </c>
      <c r="H48" s="105">
        <f t="shared" si="44"/>
        <v>17.592592592592592</v>
      </c>
      <c r="I48" s="105">
        <f t="shared" si="44"/>
        <v>17.592592592592592</v>
      </c>
      <c r="J48" s="105">
        <f>20/108*100</f>
        <v>18.518518518518519</v>
      </c>
      <c r="K48" s="105">
        <f>20/108*100</f>
        <v>18.518518518518519</v>
      </c>
      <c r="L48" s="105">
        <f t="shared" ref="L48" si="45">19/108*100</f>
        <v>17.592592592592592</v>
      </c>
      <c r="M48" s="105">
        <f>20/108*100</f>
        <v>18.518518518518519</v>
      </c>
      <c r="N48" s="105">
        <f>20/108*100</f>
        <v>18.518518518518519</v>
      </c>
      <c r="O48" s="105">
        <f t="shared" ref="O48" si="46">19/108*100</f>
        <v>17.592592592592592</v>
      </c>
      <c r="P48" s="105">
        <f>20/108*100</f>
        <v>18.518518518518519</v>
      </c>
      <c r="Q48" s="105">
        <f>20/108*100</f>
        <v>18.518518518518519</v>
      </c>
      <c r="R48" s="105">
        <f t="shared" ref="R48" si="47">19/108*100</f>
        <v>17.592592592592592</v>
      </c>
      <c r="S48" s="105">
        <f>20/103*100</f>
        <v>19.417475728155338</v>
      </c>
      <c r="T48" s="96">
        <v>19.417475728155338</v>
      </c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36"/>
      <c r="AO48" s="142"/>
    </row>
    <row r="49" spans="1:39" ht="22.5">
      <c r="A49" s="79">
        <v>5</v>
      </c>
      <c r="B49" s="171" t="s">
        <v>113</v>
      </c>
      <c r="C49" s="79" t="s">
        <v>77</v>
      </c>
      <c r="D49" s="104">
        <f>1055/1100*100</f>
        <v>95.909090909090907</v>
      </c>
      <c r="E49" s="104">
        <f>922/954*100</f>
        <v>96.645702306079656</v>
      </c>
      <c r="F49" s="104">
        <f>1055/1100*100</f>
        <v>95.909090909090907</v>
      </c>
      <c r="G49" s="113">
        <f>922/954*100</f>
        <v>96.645702306079656</v>
      </c>
      <c r="H49" s="113">
        <f>922/954*100</f>
        <v>96.645702306079656</v>
      </c>
      <c r="I49" s="104">
        <f>1055/1100*100</f>
        <v>95.909090909090907</v>
      </c>
      <c r="J49" s="113">
        <f t="shared" ref="J49:Q49" si="48">922/954*100</f>
        <v>96.645702306079656</v>
      </c>
      <c r="K49" s="113">
        <f t="shared" si="48"/>
        <v>96.645702306079656</v>
      </c>
      <c r="L49" s="104">
        <f>1055/1100*100</f>
        <v>95.909090909090907</v>
      </c>
      <c r="M49" s="113">
        <f t="shared" si="48"/>
        <v>96.645702306079656</v>
      </c>
      <c r="N49" s="113">
        <f t="shared" si="48"/>
        <v>96.645702306079656</v>
      </c>
      <c r="O49" s="104">
        <f>1055/1100*100</f>
        <v>95.909090909090907</v>
      </c>
      <c r="P49" s="113">
        <f t="shared" si="48"/>
        <v>96.645702306079656</v>
      </c>
      <c r="Q49" s="113">
        <f t="shared" si="48"/>
        <v>96.645702306079656</v>
      </c>
      <c r="R49" s="104">
        <f>1055/1100*100</f>
        <v>95.909090909090907</v>
      </c>
      <c r="S49" s="113">
        <f>916/945*100</f>
        <v>96.931216931216937</v>
      </c>
      <c r="T49" s="96">
        <v>96.931216931216937</v>
      </c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36"/>
    </row>
    <row r="50" spans="1:39">
      <c r="A50" s="77" t="s">
        <v>114</v>
      </c>
      <c r="B50" s="177" t="s">
        <v>115</v>
      </c>
      <c r="C50" s="85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36"/>
    </row>
    <row r="51" spans="1:39">
      <c r="A51" s="79">
        <v>1</v>
      </c>
      <c r="B51" s="171" t="s">
        <v>116</v>
      </c>
      <c r="C51" s="79" t="s">
        <v>117</v>
      </c>
      <c r="D51" s="58">
        <v>81</v>
      </c>
      <c r="E51" s="99">
        <v>87</v>
      </c>
      <c r="F51" s="58">
        <f>D51</f>
        <v>81</v>
      </c>
      <c r="G51" s="110">
        <v>87</v>
      </c>
      <c r="H51" s="110">
        <v>87</v>
      </c>
      <c r="I51" s="58">
        <v>81</v>
      </c>
      <c r="J51" s="110">
        <v>87</v>
      </c>
      <c r="K51" s="110">
        <v>87</v>
      </c>
      <c r="L51" s="117">
        <v>81</v>
      </c>
      <c r="M51" s="110">
        <v>87</v>
      </c>
      <c r="N51" s="110">
        <v>87</v>
      </c>
      <c r="O51" s="117">
        <v>81</v>
      </c>
      <c r="P51" s="110">
        <v>87</v>
      </c>
      <c r="Q51" s="110">
        <v>87</v>
      </c>
      <c r="R51" s="58">
        <v>87</v>
      </c>
      <c r="S51" s="58">
        <v>86</v>
      </c>
      <c r="T51" s="58">
        <v>86</v>
      </c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36"/>
    </row>
    <row r="52" spans="1:39" ht="22.5">
      <c r="A52" s="79"/>
      <c r="B52" s="106" t="s">
        <v>118</v>
      </c>
      <c r="C52" s="79" t="s">
        <v>117</v>
      </c>
      <c r="D52" s="58">
        <v>6</v>
      </c>
      <c r="E52" s="58">
        <v>6</v>
      </c>
      <c r="F52" s="58">
        <f t="shared" ref="F52:F53" si="49">D52</f>
        <v>6</v>
      </c>
      <c r="G52" s="58">
        <v>6</v>
      </c>
      <c r="H52" s="58">
        <v>6</v>
      </c>
      <c r="I52" s="58">
        <v>6</v>
      </c>
      <c r="J52" s="117">
        <v>6</v>
      </c>
      <c r="K52" s="117">
        <v>6</v>
      </c>
      <c r="L52" s="117">
        <v>6</v>
      </c>
      <c r="M52" s="117">
        <v>6</v>
      </c>
      <c r="N52" s="117">
        <v>6</v>
      </c>
      <c r="O52" s="117">
        <v>6</v>
      </c>
      <c r="P52" s="117">
        <v>6</v>
      </c>
      <c r="Q52" s="117">
        <v>6</v>
      </c>
      <c r="R52" s="58">
        <v>6</v>
      </c>
      <c r="S52" s="58">
        <v>6</v>
      </c>
      <c r="T52" s="58">
        <v>6</v>
      </c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36"/>
    </row>
    <row r="53" spans="1:39">
      <c r="A53" s="86"/>
      <c r="B53" s="106" t="s">
        <v>119</v>
      </c>
      <c r="C53" s="80" t="s">
        <v>77</v>
      </c>
      <c r="D53" s="101">
        <f>D51/108*100</f>
        <v>75</v>
      </c>
      <c r="E53" s="133">
        <f>E51/108*100</f>
        <v>80.555555555555557</v>
      </c>
      <c r="F53" s="101">
        <f t="shared" si="49"/>
        <v>75</v>
      </c>
      <c r="G53" s="134">
        <f>G51/108*100</f>
        <v>80.555555555555557</v>
      </c>
      <c r="H53" s="134">
        <f>H51/108*100</f>
        <v>80.555555555555557</v>
      </c>
      <c r="I53" s="101">
        <v>75</v>
      </c>
      <c r="J53" s="134">
        <f t="shared" ref="J53:K53" si="50">J51/108*100</f>
        <v>80.555555555555557</v>
      </c>
      <c r="K53" s="134">
        <f t="shared" si="50"/>
        <v>80.555555555555557</v>
      </c>
      <c r="L53" s="101">
        <v>75</v>
      </c>
      <c r="M53" s="134">
        <f t="shared" ref="M53:N53" si="51">M51/108*100</f>
        <v>80.555555555555557</v>
      </c>
      <c r="N53" s="134">
        <f t="shared" si="51"/>
        <v>80.555555555555557</v>
      </c>
      <c r="O53" s="101">
        <v>75</v>
      </c>
      <c r="P53" s="134">
        <f t="shared" ref="P53:Q53" si="52">P51/108*100</f>
        <v>80.555555555555557</v>
      </c>
      <c r="Q53" s="134">
        <f t="shared" si="52"/>
        <v>80.555555555555557</v>
      </c>
      <c r="R53" s="133">
        <f>R51/108*100</f>
        <v>80.555555555555557</v>
      </c>
      <c r="S53" s="133">
        <f>S51/106*100</f>
        <v>81.132075471698116</v>
      </c>
      <c r="T53" s="133">
        <v>81.132075471698116</v>
      </c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36"/>
    </row>
    <row r="54" spans="1:39" ht="22.5" customHeight="1">
      <c r="A54" s="79">
        <v>2</v>
      </c>
      <c r="B54" s="171" t="s">
        <v>120</v>
      </c>
      <c r="C54" s="79" t="s">
        <v>121</v>
      </c>
      <c r="D54" s="135">
        <f>24/687*1000</f>
        <v>34.934497816593883</v>
      </c>
      <c r="E54" s="135">
        <f>16/861*1000</f>
        <v>18.583042973286876</v>
      </c>
      <c r="F54" s="135">
        <f>16/517*1000</f>
        <v>30.947775628626694</v>
      </c>
      <c r="G54" s="27">
        <f>16/800*1000</f>
        <v>20</v>
      </c>
      <c r="H54" s="135">
        <f>((16+16)/(861+800))*1000</f>
        <v>19.265502709211319</v>
      </c>
      <c r="I54" s="139">
        <f>22/711*1000</f>
        <v>30.942334739803094</v>
      </c>
      <c r="J54" s="139">
        <f>12/700*1000</f>
        <v>17.142857142857142</v>
      </c>
      <c r="K54" s="139">
        <f>((16+16+12)/(861+800+700))*1000</f>
        <v>18.636171113934775</v>
      </c>
      <c r="L54" s="147">
        <f>11/785*1000</f>
        <v>14.012738853503185</v>
      </c>
      <c r="M54" s="147">
        <f>22/745*1000</f>
        <v>29.530201342281877</v>
      </c>
      <c r="N54" s="147">
        <f>((16+16+12+22)/(861+800+700+745))*1000</f>
        <v>21.249195106245974</v>
      </c>
      <c r="O54" s="156">
        <f>31/743*1000</f>
        <v>41.722745625841185</v>
      </c>
      <c r="P54" s="96">
        <f>33/656*1000</f>
        <v>50.304878048780488</v>
      </c>
      <c r="Q54" s="147">
        <f>((16+16+12+22+33)/(861+800+700+745+656))*1000</f>
        <v>26.315789473684209</v>
      </c>
      <c r="R54" s="156">
        <f>20/674*1000</f>
        <v>29.673590504451038</v>
      </c>
      <c r="S54" s="156">
        <f>19/674*1000</f>
        <v>28.189910979228486</v>
      </c>
      <c r="T54" s="156">
        <f>((16+16+12+22+33+13)/(861+800+700+745+656+674))*1000</f>
        <v>25.247971145175836</v>
      </c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36"/>
    </row>
    <row r="55" spans="1:39" ht="23.25" customHeight="1">
      <c r="A55" s="79">
        <v>3</v>
      </c>
      <c r="B55" s="171" t="s">
        <v>122</v>
      </c>
      <c r="C55" s="79" t="s">
        <v>121</v>
      </c>
      <c r="D55" s="135">
        <f>32/615*1000</f>
        <v>52.032520325203251</v>
      </c>
      <c r="E55" s="135">
        <f>18/861*1000</f>
        <v>20.905923344947738</v>
      </c>
      <c r="F55" s="135">
        <f>23/517*1000</f>
        <v>44.487427466150869</v>
      </c>
      <c r="G55" s="27">
        <f>18/800*1000</f>
        <v>22.5</v>
      </c>
      <c r="H55" s="135">
        <f>((18+18)/(861+800))*1000</f>
        <v>21.673690547862734</v>
      </c>
      <c r="I55" s="139">
        <f>30/711*1000</f>
        <v>42.194092827004219</v>
      </c>
      <c r="J55" s="139">
        <f>14/700*1000</f>
        <v>20</v>
      </c>
      <c r="K55" s="139">
        <f>((18+18+14)/(861+800+700))*1000</f>
        <v>21.177467174925876</v>
      </c>
      <c r="L55" s="147">
        <f>13/785*1000</f>
        <v>16.560509554140125</v>
      </c>
      <c r="M55" s="147">
        <f>26/745*1000</f>
        <v>34.899328859060397</v>
      </c>
      <c r="N55" s="147">
        <f>((18+18+14+26)/(861+800+700+745))*1000</f>
        <v>24.468770122343852</v>
      </c>
      <c r="O55" s="156">
        <f>35/743*1000</f>
        <v>47.106325706594887</v>
      </c>
      <c r="P55" s="58">
        <f>41/656*1000</f>
        <v>62.5</v>
      </c>
      <c r="Q55" s="147">
        <f>((18+18+14+26+41)/(861+800+700+745+656))*1000</f>
        <v>31.100478468899521</v>
      </c>
      <c r="R55" s="156">
        <f>35/743*1000</f>
        <v>47.106325706594887</v>
      </c>
      <c r="S55" s="156">
        <f>27/674*1000</f>
        <v>40.059347181008903</v>
      </c>
      <c r="T55" s="156">
        <f>((18+18+14+26+41+26)/(861+800+700+745+656+674))*1000</f>
        <v>32.236248872858432</v>
      </c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36"/>
    </row>
    <row r="56" spans="1:39" ht="22.5" customHeight="1">
      <c r="A56" s="79">
        <v>4</v>
      </c>
      <c r="B56" s="171" t="s">
        <v>123</v>
      </c>
      <c r="C56" s="79" t="s">
        <v>124</v>
      </c>
      <c r="D56" s="470" t="s">
        <v>152</v>
      </c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2"/>
      <c r="P56" s="471"/>
      <c r="Q56" s="473"/>
      <c r="R56" s="377"/>
      <c r="S56" s="376">
        <v>19.97</v>
      </c>
      <c r="T56" s="376">
        <v>19.97</v>
      </c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36"/>
    </row>
    <row r="57" spans="1:39" ht="22.5">
      <c r="A57" s="79">
        <v>5</v>
      </c>
      <c r="B57" s="171" t="s">
        <v>125</v>
      </c>
      <c r="C57" s="79" t="s">
        <v>126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148">
        <f>0</f>
        <v>0</v>
      </c>
      <c r="M57" s="148">
        <f>0</f>
        <v>0</v>
      </c>
      <c r="N57" s="148">
        <f>0</f>
        <v>0</v>
      </c>
      <c r="O57" s="101">
        <v>0</v>
      </c>
      <c r="P57" s="96">
        <f>1/656*100000</f>
        <v>152.4390243902439</v>
      </c>
      <c r="Q57" s="96">
        <f>1/3762*100000</f>
        <v>26.581605528973952</v>
      </c>
      <c r="R57" s="378">
        <f>1/681*100000</f>
        <v>146.84287812041114</v>
      </c>
      <c r="S57" s="156">
        <v>0</v>
      </c>
      <c r="T57" s="385">
        <f>1/4436*100000</f>
        <v>22.54283137962128</v>
      </c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36"/>
    </row>
    <row r="58" spans="1:39" ht="22.5">
      <c r="A58" s="79">
        <v>6</v>
      </c>
      <c r="B58" s="171" t="s">
        <v>127</v>
      </c>
      <c r="C58" s="79" t="s">
        <v>77</v>
      </c>
      <c r="D58" s="137">
        <f>486/9605*100</f>
        <v>5.059864653826132</v>
      </c>
      <c r="E58" s="137">
        <f>702/9982*100</f>
        <v>7.0326587858144665</v>
      </c>
      <c r="F58" s="137">
        <f>13/9605*100</f>
        <v>0.1353461738677772</v>
      </c>
      <c r="G58" s="137">
        <f>822/9982*100</f>
        <v>8.2348226808254861</v>
      </c>
      <c r="H58" s="137">
        <f>(702+822)/9982*100</f>
        <v>15.267481466639952</v>
      </c>
      <c r="I58" s="139">
        <v>5</v>
      </c>
      <c r="J58" s="139">
        <f>826/9982*100</f>
        <v>8.2748948106591858</v>
      </c>
      <c r="K58" s="137">
        <f>(702+822+826)/9982*100</f>
        <v>23.542376277299137</v>
      </c>
      <c r="L58" s="147">
        <f>400/9605*100</f>
        <v>4.1644976574700676</v>
      </c>
      <c r="M58" s="158">
        <v>0</v>
      </c>
      <c r="N58" s="137">
        <f>(702+822+826)/9982*100</f>
        <v>23.542376277299137</v>
      </c>
      <c r="O58" s="159">
        <f>407/9605*100</f>
        <v>4.237376366475794</v>
      </c>
      <c r="P58" s="96">
        <f>1568/9982*100</f>
        <v>15.708274894810659</v>
      </c>
      <c r="Q58" s="137">
        <f>(702+822+826+1568)/9982*100</f>
        <v>39.250651172109798</v>
      </c>
      <c r="R58" s="379">
        <f>407/9605*100</f>
        <v>4.237376366475794</v>
      </c>
      <c r="S58" s="380">
        <f>1169/9982*100</f>
        <v>11.711079943899017</v>
      </c>
      <c r="T58" s="387">
        <f>(702+822+826+1568+784)/9982*100</f>
        <v>47.104788619515126</v>
      </c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36"/>
    </row>
    <row r="59" spans="1:39">
      <c r="A59" s="79">
        <v>7</v>
      </c>
      <c r="B59" s="171" t="s">
        <v>128</v>
      </c>
      <c r="C59" s="79" t="s">
        <v>77</v>
      </c>
      <c r="D59" s="135">
        <f>460/750*100</f>
        <v>61.333333333333329</v>
      </c>
      <c r="E59" s="135">
        <f>655/868*100</f>
        <v>75.460829493087559</v>
      </c>
      <c r="F59" s="135">
        <f>374/517*100</f>
        <v>72.340425531914903</v>
      </c>
      <c r="G59" s="137">
        <f>603/800*100</f>
        <v>75.375</v>
      </c>
      <c r="H59" s="137">
        <f>((655+603)/(868+800))*100</f>
        <v>75.419664268585123</v>
      </c>
      <c r="I59" s="139">
        <f>428/713*100</f>
        <v>60.028050490883587</v>
      </c>
      <c r="J59" s="139">
        <f>550/700*100</f>
        <v>78.571428571428569</v>
      </c>
      <c r="K59" s="139">
        <f>((655+603+550)/(868+800+700))*100</f>
        <v>76.351351351351354</v>
      </c>
      <c r="L59" s="147">
        <f>494/789*100</f>
        <v>62.610899873257289</v>
      </c>
      <c r="M59" s="147">
        <f>550/759*100</f>
        <v>72.463768115942031</v>
      </c>
      <c r="N59" s="147">
        <f>((655+603+550+550)/(868+800+700+759))*100</f>
        <v>75.407739047009912</v>
      </c>
      <c r="O59" s="157">
        <f>469/744*100</f>
        <v>63.037634408602152</v>
      </c>
      <c r="P59" s="96">
        <f>673/734*100</f>
        <v>91.689373297002732</v>
      </c>
      <c r="Q59" s="147">
        <f>((655+603+550+550+673)/(868+800+700+759+734))*100</f>
        <v>78.502978502978507</v>
      </c>
      <c r="R59" s="379">
        <f>469/744*100</f>
        <v>63.037634408602152</v>
      </c>
      <c r="S59" s="156">
        <f>485/684*100</f>
        <v>70.906432748538009</v>
      </c>
      <c r="T59" s="386">
        <f>((655+603+550+550+673+485)/(868+800+700+759+734+684))*100</f>
        <v>77.359735973597353</v>
      </c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36"/>
    </row>
    <row r="60" spans="1:39">
      <c r="A60" s="79">
        <v>8</v>
      </c>
      <c r="B60" s="171" t="s">
        <v>129</v>
      </c>
      <c r="C60" s="79" t="s">
        <v>77</v>
      </c>
      <c r="D60" s="135">
        <f>516/750*100</f>
        <v>68.8</v>
      </c>
      <c r="E60" s="135">
        <f>731/868*100</f>
        <v>84.21658986175116</v>
      </c>
      <c r="F60" s="135">
        <f>457/517*100</f>
        <v>88.394584139264992</v>
      </c>
      <c r="G60" s="138">
        <f>562/800*100</f>
        <v>70.25</v>
      </c>
      <c r="H60" s="137">
        <f>((731+562)/(868+800))*100</f>
        <v>77.517985611510781</v>
      </c>
      <c r="I60" s="139">
        <f>526/713*100</f>
        <v>73.772791023842927</v>
      </c>
      <c r="J60" s="139">
        <f>650/700*100</f>
        <v>92.857142857142861</v>
      </c>
      <c r="K60" s="139">
        <f>((731+562+650)/(868+800+700))*100</f>
        <v>82.05236486486487</v>
      </c>
      <c r="L60" s="147">
        <f>622/789*100</f>
        <v>78.833967046894799</v>
      </c>
      <c r="M60" s="147">
        <f>584/759*100</f>
        <v>76.943346508563906</v>
      </c>
      <c r="N60" s="147">
        <f>((731+562+584)/(868+800+700+759))*100</f>
        <v>60.025583626479047</v>
      </c>
      <c r="O60" s="156">
        <f>586/744*100</f>
        <v>78.763440860215056</v>
      </c>
      <c r="P60" s="96">
        <f>592/734*100</f>
        <v>80.653950953678475</v>
      </c>
      <c r="Q60" s="147">
        <f>((731+562+584+650+592)/(868+800+700+759+734))*100</f>
        <v>80.782180782180774</v>
      </c>
      <c r="R60" s="379">
        <f>586/744*100</f>
        <v>78.763440860215056</v>
      </c>
      <c r="S60" s="156">
        <f>530/684*100</f>
        <v>77.485380116959064</v>
      </c>
      <c r="T60" s="379">
        <f>((731+562+584+650+592+530)/(868+800+700+759+734+684))*100</f>
        <v>80.286028602860284</v>
      </c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36"/>
    </row>
    <row r="61" spans="1:39">
      <c r="A61" s="79">
        <v>9</v>
      </c>
      <c r="B61" s="171" t="s">
        <v>130</v>
      </c>
      <c r="C61" s="79"/>
      <c r="D61" s="63"/>
      <c r="E61" s="63"/>
      <c r="F61" s="63"/>
      <c r="G61" s="63"/>
      <c r="H61" s="63"/>
      <c r="I61" s="63"/>
      <c r="J61" s="63"/>
      <c r="K61" s="63"/>
      <c r="L61" s="140"/>
      <c r="M61" s="117"/>
      <c r="N61" s="117"/>
      <c r="O61" s="63"/>
      <c r="P61" s="58"/>
      <c r="Q61" s="58"/>
      <c r="R61" s="377"/>
      <c r="S61" s="376"/>
      <c r="T61" s="376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36"/>
    </row>
    <row r="62" spans="1:39">
      <c r="A62" s="87"/>
      <c r="B62" s="178" t="s">
        <v>131</v>
      </c>
      <c r="C62" s="87" t="s">
        <v>79</v>
      </c>
      <c r="D62" s="96">
        <f>4/D11*1000</f>
        <v>8.6501448899269067E-3</v>
      </c>
      <c r="E62" s="58">
        <v>0</v>
      </c>
      <c r="F62" s="96">
        <f>6/F11*1000</f>
        <v>1.2975217334890359E-2</v>
      </c>
      <c r="G62" s="58">
        <v>0</v>
      </c>
      <c r="H62" s="58">
        <v>0</v>
      </c>
      <c r="I62" s="96">
        <f>13/I11*1000</f>
        <v>2.8100270411063725E-2</v>
      </c>
      <c r="J62" s="96">
        <f>20/J11*1000</f>
        <v>4.2634650886161217E-2</v>
      </c>
      <c r="K62" s="96">
        <f>20/K11*1000</f>
        <v>4.2634650886161217E-2</v>
      </c>
      <c r="L62" s="149">
        <f>5/462629*1000</f>
        <v>1.0807796311947587E-2</v>
      </c>
      <c r="M62" s="150">
        <f>10/469102*1000</f>
        <v>2.1317325443080608E-2</v>
      </c>
      <c r="N62" s="152">
        <f>30/469102*1000</f>
        <v>6.3951976329241836E-2</v>
      </c>
      <c r="O62" s="96">
        <f>7/O11*1000</f>
        <v>1.5130914836726621E-2</v>
      </c>
      <c r="P62" s="96">
        <f>0/P11*1000</f>
        <v>0</v>
      </c>
      <c r="Q62" s="96">
        <f>30/Q11*1000</f>
        <v>6.3951976329241836E-2</v>
      </c>
      <c r="R62" s="381">
        <f>8/462629*1000</f>
        <v>1.7292474099116141E-2</v>
      </c>
      <c r="S62" s="382">
        <f>3/469102*1000</f>
        <v>6.3951976329241827E-3</v>
      </c>
      <c r="T62" s="382">
        <f>33/469102*1000</f>
        <v>7.0347173962166012E-2</v>
      </c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36"/>
    </row>
    <row r="63" spans="1:39" ht="15.75" customHeight="1">
      <c r="A63" s="80"/>
      <c r="B63" s="106" t="s">
        <v>132</v>
      </c>
      <c r="C63" s="166" t="s">
        <v>133</v>
      </c>
      <c r="D63" s="96">
        <f>13/D11*100000</f>
        <v>2.8112970892262443</v>
      </c>
      <c r="E63" s="96">
        <f>7/E11*100000</f>
        <v>1.4922127810156427</v>
      </c>
      <c r="F63" s="96">
        <f>5/F11*100000</f>
        <v>1.0812681112408633</v>
      </c>
      <c r="G63" s="111">
        <f>2/G11*100000</f>
        <v>0.42634650886161218</v>
      </c>
      <c r="H63" s="111">
        <f>9/H11*100000</f>
        <v>1.9185592898772548</v>
      </c>
      <c r="I63" s="96">
        <f>32/I11*100000</f>
        <v>6.9169896396464559</v>
      </c>
      <c r="J63" s="96">
        <f>23/J11*100000</f>
        <v>4.9029848519085402</v>
      </c>
      <c r="K63" s="96">
        <f>32/K11*100000</f>
        <v>6.8215441417857949</v>
      </c>
      <c r="L63" s="153">
        <f>18/L11*100000</f>
        <v>3.8908066723011312</v>
      </c>
      <c r="M63" s="151">
        <f>8/469102*100000</f>
        <v>1.7053860354464487</v>
      </c>
      <c r="N63" s="151">
        <f>40/469102*100000</f>
        <v>8.5269301772322432</v>
      </c>
      <c r="O63" s="96">
        <f>7/O11*100000</f>
        <v>1.5130914836726621</v>
      </c>
      <c r="P63" s="96">
        <f>9/P11*100000</f>
        <v>1.9185592898772548</v>
      </c>
      <c r="Q63" s="96">
        <f>49/Q11*100000</f>
        <v>10.445489467109498</v>
      </c>
      <c r="R63" s="383">
        <f>76/R11*100000</f>
        <v>16.42785039416033</v>
      </c>
      <c r="S63" s="58">
        <v>0</v>
      </c>
      <c r="T63" s="383">
        <f>49/T11*100000</f>
        <v>10.445489467109498</v>
      </c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36"/>
    </row>
    <row r="64" spans="1:39">
      <c r="A64" s="80"/>
      <c r="B64" s="106" t="s">
        <v>134</v>
      </c>
      <c r="C64" s="80" t="s">
        <v>77</v>
      </c>
      <c r="D64" s="58">
        <v>0.38</v>
      </c>
      <c r="E64" s="58">
        <v>0.39</v>
      </c>
      <c r="F64" s="58">
        <v>0.38</v>
      </c>
      <c r="G64" s="58">
        <v>0.39</v>
      </c>
      <c r="H64" s="58">
        <v>0.39</v>
      </c>
      <c r="I64" s="96">
        <f>1753/I11*100</f>
        <v>0.37892133869688238</v>
      </c>
      <c r="J64" s="96">
        <f>1787/J11*100</f>
        <v>0.38094060566785048</v>
      </c>
      <c r="K64" s="96">
        <f>1787/K11*100</f>
        <v>0.38094060566785048</v>
      </c>
      <c r="L64" s="153">
        <f>1757/462629*100</f>
        <v>0.37978596240183821</v>
      </c>
      <c r="M64" s="151">
        <f>1790/469102*100</f>
        <v>0.38158012543114289</v>
      </c>
      <c r="N64" s="151">
        <f>1790/469102*100</f>
        <v>0.38158012543114289</v>
      </c>
      <c r="O64" s="96">
        <f>1769/O11*100</f>
        <v>0.38237983351670563</v>
      </c>
      <c r="P64" s="96">
        <f>1783/P11*100</f>
        <v>0.38008791265012726</v>
      </c>
      <c r="Q64" s="96">
        <f>1783/Q11*100</f>
        <v>0.38008791265012726</v>
      </c>
      <c r="R64" s="153">
        <f>1778/462629*100</f>
        <v>0.38432523685285619</v>
      </c>
      <c r="S64" s="151">
        <f>1800/469102*100</f>
        <v>0.38371185797545099</v>
      </c>
      <c r="T64" s="151">
        <f>1800/469102*100</f>
        <v>0.38371185797545099</v>
      </c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36"/>
    </row>
    <row r="65" spans="1:39">
      <c r="A65" s="79">
        <v>10</v>
      </c>
      <c r="B65" s="171" t="s">
        <v>135</v>
      </c>
      <c r="C65" s="66" t="s">
        <v>77</v>
      </c>
      <c r="D65" s="58"/>
      <c r="E65" s="58"/>
      <c r="F65" s="58"/>
      <c r="G65" s="58"/>
      <c r="H65" s="58"/>
      <c r="I65" s="58">
        <v>93.86</v>
      </c>
      <c r="J65" s="58"/>
      <c r="K65" s="58">
        <v>94</v>
      </c>
      <c r="L65" s="63"/>
      <c r="M65" s="63"/>
      <c r="N65" s="63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36"/>
    </row>
    <row r="66" spans="1:39">
      <c r="A66" s="77" t="s">
        <v>136</v>
      </c>
      <c r="B66" s="177" t="s">
        <v>137</v>
      </c>
      <c r="C66" s="7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36"/>
    </row>
    <row r="67" spans="1:39">
      <c r="A67" s="77">
        <v>1</v>
      </c>
      <c r="B67" s="177" t="s">
        <v>138</v>
      </c>
      <c r="C67" s="7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36"/>
    </row>
    <row r="68" spans="1:39">
      <c r="A68" s="79"/>
      <c r="B68" s="171" t="s">
        <v>139</v>
      </c>
      <c r="C68" s="79" t="s">
        <v>76</v>
      </c>
      <c r="D68" s="58">
        <v>56</v>
      </c>
      <c r="E68" s="58">
        <v>56</v>
      </c>
      <c r="F68" s="58">
        <v>56</v>
      </c>
      <c r="G68" s="58">
        <v>56</v>
      </c>
      <c r="H68" s="58">
        <v>56</v>
      </c>
      <c r="I68" s="117">
        <v>56</v>
      </c>
      <c r="J68" s="117">
        <v>56</v>
      </c>
      <c r="K68" s="117">
        <v>56</v>
      </c>
      <c r="L68" s="117">
        <v>56</v>
      </c>
      <c r="M68" s="117">
        <v>56</v>
      </c>
      <c r="N68" s="117">
        <v>56</v>
      </c>
      <c r="O68" s="117">
        <v>56</v>
      </c>
      <c r="P68" s="117">
        <v>56</v>
      </c>
      <c r="Q68" s="117">
        <v>56</v>
      </c>
      <c r="R68" s="374">
        <v>56</v>
      </c>
      <c r="S68" s="374">
        <v>56</v>
      </c>
      <c r="T68" s="374">
        <v>56</v>
      </c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36"/>
    </row>
    <row r="69" spans="1:39">
      <c r="A69" s="79"/>
      <c r="B69" s="171" t="s">
        <v>140</v>
      </c>
      <c r="C69" s="79" t="s">
        <v>76</v>
      </c>
      <c r="D69" s="58">
        <v>120</v>
      </c>
      <c r="E69" s="58">
        <v>120</v>
      </c>
      <c r="F69" s="58">
        <v>120</v>
      </c>
      <c r="G69" s="58">
        <v>120</v>
      </c>
      <c r="H69" s="58">
        <v>120</v>
      </c>
      <c r="I69" s="117">
        <v>120</v>
      </c>
      <c r="J69" s="117">
        <v>120</v>
      </c>
      <c r="K69" s="117">
        <v>120</v>
      </c>
      <c r="L69" s="117">
        <v>120</v>
      </c>
      <c r="M69" s="117">
        <v>120</v>
      </c>
      <c r="N69" s="117">
        <v>120</v>
      </c>
      <c r="O69" s="117">
        <v>120</v>
      </c>
      <c r="P69" s="117">
        <v>120</v>
      </c>
      <c r="Q69" s="117">
        <v>120</v>
      </c>
      <c r="R69" s="374">
        <v>120</v>
      </c>
      <c r="S69" s="374">
        <v>120</v>
      </c>
      <c r="T69" s="374">
        <v>120</v>
      </c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36"/>
    </row>
    <row r="70" spans="1:39">
      <c r="A70" s="79"/>
      <c r="B70" s="171" t="s">
        <v>141</v>
      </c>
      <c r="C70" s="79" t="s">
        <v>76</v>
      </c>
      <c r="D70" s="58">
        <v>82</v>
      </c>
      <c r="E70" s="58">
        <v>82</v>
      </c>
      <c r="F70" s="58">
        <v>82</v>
      </c>
      <c r="G70" s="58">
        <v>82</v>
      </c>
      <c r="H70" s="58">
        <v>82</v>
      </c>
      <c r="I70" s="117">
        <v>82</v>
      </c>
      <c r="J70" s="117">
        <v>82</v>
      </c>
      <c r="K70" s="117">
        <v>82</v>
      </c>
      <c r="L70" s="117">
        <v>82</v>
      </c>
      <c r="M70" s="117">
        <v>82</v>
      </c>
      <c r="N70" s="117">
        <v>82</v>
      </c>
      <c r="O70" s="117">
        <v>82</v>
      </c>
      <c r="P70" s="117">
        <v>82</v>
      </c>
      <c r="Q70" s="117">
        <v>82</v>
      </c>
      <c r="R70" s="374">
        <v>82</v>
      </c>
      <c r="S70" s="374">
        <v>82</v>
      </c>
      <c r="T70" s="374">
        <v>82</v>
      </c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36"/>
    </row>
    <row r="71" spans="1:39">
      <c r="A71" s="79"/>
      <c r="B71" s="171" t="s">
        <v>142</v>
      </c>
      <c r="C71" s="79" t="s">
        <v>76</v>
      </c>
      <c r="D71" s="58">
        <v>12</v>
      </c>
      <c r="E71" s="58">
        <v>12</v>
      </c>
      <c r="F71" s="58">
        <v>12</v>
      </c>
      <c r="G71" s="58">
        <v>12</v>
      </c>
      <c r="H71" s="58">
        <v>12</v>
      </c>
      <c r="I71" s="117">
        <v>12</v>
      </c>
      <c r="J71" s="117">
        <v>12</v>
      </c>
      <c r="K71" s="117">
        <v>12</v>
      </c>
      <c r="L71" s="117">
        <v>12</v>
      </c>
      <c r="M71" s="117">
        <v>12</v>
      </c>
      <c r="N71" s="117">
        <v>12</v>
      </c>
      <c r="O71" s="117">
        <v>12</v>
      </c>
      <c r="P71" s="117">
        <v>12</v>
      </c>
      <c r="Q71" s="117">
        <v>12</v>
      </c>
      <c r="R71" s="374">
        <v>12</v>
      </c>
      <c r="S71" s="374">
        <v>12</v>
      </c>
      <c r="T71" s="374">
        <v>12</v>
      </c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36"/>
    </row>
    <row r="72" spans="1:39">
      <c r="A72" s="77">
        <v>2</v>
      </c>
      <c r="B72" s="177" t="s">
        <v>143</v>
      </c>
      <c r="C72" s="77"/>
      <c r="D72" s="58"/>
      <c r="E72" s="58"/>
      <c r="F72" s="58"/>
      <c r="G72" s="58"/>
      <c r="H72" s="58"/>
      <c r="I72" s="117"/>
      <c r="J72" s="117"/>
      <c r="K72" s="117"/>
      <c r="L72" s="117"/>
      <c r="M72" s="117"/>
      <c r="N72" s="117"/>
      <c r="O72" s="117"/>
      <c r="P72" s="117"/>
      <c r="Q72" s="117"/>
      <c r="R72" s="374"/>
      <c r="S72" s="374"/>
      <c r="T72" s="374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36"/>
    </row>
    <row r="73" spans="1:39">
      <c r="A73" s="79"/>
      <c r="B73" s="171" t="s">
        <v>139</v>
      </c>
      <c r="C73" s="79" t="s">
        <v>76</v>
      </c>
      <c r="D73" s="58">
        <v>10</v>
      </c>
      <c r="E73" s="58"/>
      <c r="F73" s="58">
        <v>10</v>
      </c>
      <c r="G73" s="58"/>
      <c r="H73" s="58"/>
      <c r="I73" s="117">
        <v>10</v>
      </c>
      <c r="J73" s="117"/>
      <c r="K73" s="117"/>
      <c r="L73" s="117">
        <v>10</v>
      </c>
      <c r="M73" s="117"/>
      <c r="N73" s="117"/>
      <c r="O73" s="117">
        <v>10</v>
      </c>
      <c r="P73" s="117"/>
      <c r="Q73" s="117"/>
      <c r="R73" s="374">
        <v>10</v>
      </c>
      <c r="S73" s="374"/>
      <c r="T73" s="374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</row>
    <row r="74" spans="1:39" ht="18.75" customHeight="1">
      <c r="A74" s="79"/>
      <c r="B74" s="171" t="s">
        <v>140</v>
      </c>
      <c r="C74" s="79" t="s">
        <v>76</v>
      </c>
      <c r="D74" s="58">
        <v>80</v>
      </c>
      <c r="E74" s="58"/>
      <c r="F74" s="58">
        <v>80</v>
      </c>
      <c r="G74" s="58"/>
      <c r="H74" s="58"/>
      <c r="I74" s="117">
        <v>80</v>
      </c>
      <c r="J74" s="117"/>
      <c r="K74" s="117"/>
      <c r="L74" s="117">
        <v>80</v>
      </c>
      <c r="M74" s="117">
        <v>80</v>
      </c>
      <c r="N74" s="117">
        <v>80</v>
      </c>
      <c r="O74" s="117">
        <v>80</v>
      </c>
      <c r="P74" s="117">
        <v>60</v>
      </c>
      <c r="Q74" s="117">
        <v>60</v>
      </c>
      <c r="R74" s="374">
        <v>80</v>
      </c>
      <c r="S74" s="374">
        <v>60</v>
      </c>
      <c r="T74" s="374">
        <v>60</v>
      </c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36"/>
    </row>
    <row r="75" spans="1:39" ht="40.5" customHeight="1">
      <c r="A75" s="79"/>
      <c r="B75" s="171" t="s">
        <v>144</v>
      </c>
      <c r="C75" s="79" t="s">
        <v>76</v>
      </c>
      <c r="D75" s="58">
        <v>118</v>
      </c>
      <c r="E75" s="58"/>
      <c r="F75" s="58">
        <v>118</v>
      </c>
      <c r="G75" s="58"/>
      <c r="H75" s="58"/>
      <c r="I75" s="117">
        <v>118</v>
      </c>
      <c r="J75" s="117"/>
      <c r="K75" s="117"/>
      <c r="L75" s="117">
        <v>118</v>
      </c>
      <c r="M75" s="117"/>
      <c r="N75" s="117"/>
      <c r="O75" s="117">
        <v>118</v>
      </c>
      <c r="P75" s="117"/>
      <c r="Q75" s="117"/>
      <c r="R75" s="374">
        <v>118</v>
      </c>
      <c r="S75" s="374"/>
      <c r="T75" s="374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spans="1:39" ht="28.5" customHeight="1">
      <c r="A76" s="51"/>
      <c r="B76" s="179" t="s">
        <v>145</v>
      </c>
      <c r="C76" s="92" t="s">
        <v>146</v>
      </c>
      <c r="D76" s="107">
        <v>2062</v>
      </c>
      <c r="E76" s="107">
        <v>2272</v>
      </c>
      <c r="F76" s="107">
        <v>2062</v>
      </c>
      <c r="G76" s="107">
        <v>2257</v>
      </c>
      <c r="H76" s="107">
        <v>2257</v>
      </c>
      <c r="I76" s="51">
        <v>2062</v>
      </c>
      <c r="J76" s="107">
        <v>2258</v>
      </c>
      <c r="K76" s="107">
        <v>2258</v>
      </c>
      <c r="L76" s="141">
        <v>2065</v>
      </c>
      <c r="M76" s="141">
        <v>2270</v>
      </c>
      <c r="N76" s="141">
        <v>2270</v>
      </c>
      <c r="O76" s="141">
        <v>2059</v>
      </c>
      <c r="P76" s="141">
        <v>2245</v>
      </c>
      <c r="Q76" s="141">
        <v>2245</v>
      </c>
      <c r="R76" s="141">
        <v>2100</v>
      </c>
      <c r="S76" s="141">
        <v>2295</v>
      </c>
      <c r="T76" s="141">
        <v>2295</v>
      </c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</row>
  </sheetData>
  <mergeCells count="21">
    <mergeCell ref="AG5:AI5"/>
    <mergeCell ref="AM5:AM6"/>
    <mergeCell ref="B9:AM9"/>
    <mergeCell ref="D5:E5"/>
    <mergeCell ref="AJ5:AL5"/>
    <mergeCell ref="F5:H5"/>
    <mergeCell ref="I5:K5"/>
    <mergeCell ref="AA5:AC5"/>
    <mergeCell ref="AD5:AF5"/>
    <mergeCell ref="L5:N5"/>
    <mergeCell ref="O5:Q5"/>
    <mergeCell ref="R5:T5"/>
    <mergeCell ref="U5:W5"/>
    <mergeCell ref="X5:Z5"/>
    <mergeCell ref="A1:B1"/>
    <mergeCell ref="A5:A6"/>
    <mergeCell ref="B5:B6"/>
    <mergeCell ref="C5:C6"/>
    <mergeCell ref="D56:Q56"/>
    <mergeCell ref="A3:Q3"/>
    <mergeCell ref="A2:Q2"/>
  </mergeCells>
  <pageMargins left="0.35433070866141736" right="0.19685039370078741" top="0.39370078740157483" bottom="0.35433070866141736" header="0.31496062992125984" footer="0.31496062992125984"/>
  <pageSetup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29"/>
  <sheetViews>
    <sheetView workbookViewId="0">
      <selection activeCell="B12" sqref="B12"/>
    </sheetView>
  </sheetViews>
  <sheetFormatPr defaultRowHeight="12.75"/>
  <cols>
    <col min="1" max="1" width="5.375" style="452" customWidth="1"/>
    <col min="2" max="2" width="17.125" style="392" customWidth="1"/>
    <col min="3" max="4" width="9" style="392"/>
    <col min="5" max="5" width="7.375" style="389" customWidth="1"/>
    <col min="6" max="6" width="7.125" style="389" customWidth="1"/>
    <col min="7" max="18" width="0" style="389" hidden="1" customWidth="1"/>
    <col min="19" max="19" width="8.125" style="392" customWidth="1"/>
    <col min="20" max="20" width="9" style="392"/>
    <col min="21" max="21" width="8" style="389" customWidth="1"/>
    <col min="22" max="22" width="7.75" style="389" customWidth="1"/>
    <col min="23" max="34" width="0" style="389" hidden="1" customWidth="1"/>
    <col min="35" max="36" width="9" style="392"/>
    <col min="37" max="38" width="9" style="389"/>
    <col min="39" max="50" width="0" style="389" hidden="1" customWidth="1"/>
    <col min="51" max="51" width="0" style="403" hidden="1" customWidth="1"/>
    <col min="52" max="53" width="0" style="404" hidden="1" customWidth="1"/>
    <col min="54" max="16384" width="9" style="389"/>
  </cols>
  <sheetData>
    <row r="1" spans="1:81">
      <c r="A1" s="552" t="s">
        <v>291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392"/>
    </row>
    <row r="2" spans="1:81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392"/>
    </row>
    <row r="3" spans="1:81" s="390" customFormat="1" ht="22.5" customHeight="1">
      <c r="A3" s="556" t="s">
        <v>9</v>
      </c>
      <c r="B3" s="556" t="s">
        <v>267</v>
      </c>
      <c r="C3" s="556" t="s">
        <v>292</v>
      </c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6"/>
      <c r="AU3" s="556"/>
      <c r="AV3" s="556"/>
      <c r="AW3" s="556"/>
      <c r="AX3" s="556"/>
      <c r="AY3" s="556"/>
      <c r="AZ3" s="557" t="s">
        <v>293</v>
      </c>
      <c r="BA3" s="558"/>
    </row>
    <row r="4" spans="1:81" s="390" customFormat="1" ht="22.5" customHeight="1">
      <c r="A4" s="556"/>
      <c r="B4" s="556"/>
      <c r="C4" s="550" t="s">
        <v>294</v>
      </c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 t="s">
        <v>295</v>
      </c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 t="s">
        <v>296</v>
      </c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550"/>
      <c r="AW4" s="550"/>
      <c r="AX4" s="550"/>
      <c r="AY4" s="550"/>
      <c r="AZ4" s="559"/>
      <c r="BA4" s="560"/>
    </row>
    <row r="5" spans="1:81" s="390" customFormat="1" ht="22.5" customHeight="1">
      <c r="A5" s="556"/>
      <c r="B5" s="556"/>
      <c r="C5" s="550" t="s">
        <v>274</v>
      </c>
      <c r="D5" s="550" t="s">
        <v>304</v>
      </c>
      <c r="E5" s="550" t="s">
        <v>276</v>
      </c>
      <c r="F5" s="550" t="s">
        <v>305</v>
      </c>
      <c r="G5" s="550" t="s">
        <v>277</v>
      </c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 t="s">
        <v>274</v>
      </c>
      <c r="T5" s="550" t="s">
        <v>304</v>
      </c>
      <c r="U5" s="550" t="s">
        <v>276</v>
      </c>
      <c r="V5" s="550" t="s">
        <v>303</v>
      </c>
      <c r="W5" s="550" t="s">
        <v>277</v>
      </c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 t="s">
        <v>274</v>
      </c>
      <c r="AJ5" s="550" t="s">
        <v>304</v>
      </c>
      <c r="AK5" s="550" t="s">
        <v>276</v>
      </c>
      <c r="AL5" s="550" t="s">
        <v>303</v>
      </c>
      <c r="AM5" s="550" t="s">
        <v>277</v>
      </c>
      <c r="AN5" s="550"/>
      <c r="AO5" s="550"/>
      <c r="AP5" s="550"/>
      <c r="AQ5" s="550"/>
      <c r="AR5" s="550"/>
      <c r="AS5" s="550"/>
      <c r="AT5" s="550"/>
      <c r="AU5" s="550"/>
      <c r="AV5" s="550"/>
      <c r="AW5" s="550"/>
      <c r="AX5" s="550"/>
      <c r="AY5" s="554" t="s">
        <v>77</v>
      </c>
      <c r="AZ5" s="559"/>
      <c r="BA5" s="560"/>
    </row>
    <row r="6" spans="1:81" s="390" customFormat="1" ht="17.25" customHeight="1">
      <c r="A6" s="556"/>
      <c r="B6" s="556"/>
      <c r="C6" s="550"/>
      <c r="D6" s="550"/>
      <c r="E6" s="550"/>
      <c r="F6" s="550"/>
      <c r="G6" s="433" t="s">
        <v>38</v>
      </c>
      <c r="H6" s="433" t="s">
        <v>41</v>
      </c>
      <c r="I6" s="433" t="s">
        <v>40</v>
      </c>
      <c r="J6" s="433" t="s">
        <v>43</v>
      </c>
      <c r="K6" s="433" t="s">
        <v>45</v>
      </c>
      <c r="L6" s="433" t="s">
        <v>47</v>
      </c>
      <c r="M6" s="433" t="s">
        <v>49</v>
      </c>
      <c r="N6" s="433" t="s">
        <v>50</v>
      </c>
      <c r="O6" s="433" t="s">
        <v>51</v>
      </c>
      <c r="P6" s="433" t="s">
        <v>52</v>
      </c>
      <c r="Q6" s="433" t="s">
        <v>53</v>
      </c>
      <c r="R6" s="433" t="s">
        <v>54</v>
      </c>
      <c r="S6" s="550"/>
      <c r="T6" s="550"/>
      <c r="U6" s="550"/>
      <c r="V6" s="550"/>
      <c r="W6" s="433" t="s">
        <v>38</v>
      </c>
      <c r="X6" s="433" t="s">
        <v>41</v>
      </c>
      <c r="Y6" s="433" t="s">
        <v>40</v>
      </c>
      <c r="Z6" s="433" t="s">
        <v>43</v>
      </c>
      <c r="AA6" s="433" t="s">
        <v>45</v>
      </c>
      <c r="AB6" s="433" t="s">
        <v>47</v>
      </c>
      <c r="AC6" s="433" t="s">
        <v>49</v>
      </c>
      <c r="AD6" s="433" t="s">
        <v>50</v>
      </c>
      <c r="AE6" s="433" t="s">
        <v>51</v>
      </c>
      <c r="AF6" s="433" t="s">
        <v>52</v>
      </c>
      <c r="AG6" s="433" t="s">
        <v>53</v>
      </c>
      <c r="AH6" s="433" t="s">
        <v>54</v>
      </c>
      <c r="AI6" s="550"/>
      <c r="AJ6" s="550"/>
      <c r="AK6" s="550"/>
      <c r="AL6" s="550"/>
      <c r="AM6" s="433" t="s">
        <v>38</v>
      </c>
      <c r="AN6" s="433" t="s">
        <v>41</v>
      </c>
      <c r="AO6" s="433" t="s">
        <v>40</v>
      </c>
      <c r="AP6" s="433" t="s">
        <v>43</v>
      </c>
      <c r="AQ6" s="433" t="s">
        <v>45</v>
      </c>
      <c r="AR6" s="433" t="s">
        <v>47</v>
      </c>
      <c r="AS6" s="433" t="s">
        <v>49</v>
      </c>
      <c r="AT6" s="433" t="s">
        <v>50</v>
      </c>
      <c r="AU6" s="433" t="s">
        <v>51</v>
      </c>
      <c r="AV6" s="433" t="s">
        <v>52</v>
      </c>
      <c r="AW6" s="433" t="s">
        <v>53</v>
      </c>
      <c r="AX6" s="433" t="s">
        <v>54</v>
      </c>
      <c r="AY6" s="554"/>
      <c r="AZ6" s="434" t="s">
        <v>274</v>
      </c>
      <c r="BA6" s="434" t="s">
        <v>275</v>
      </c>
    </row>
    <row r="7" spans="1:81" s="390" customFormat="1" ht="24" customHeight="1">
      <c r="A7" s="456"/>
      <c r="B7" s="456" t="s">
        <v>278</v>
      </c>
      <c r="C7" s="456">
        <v>529172</v>
      </c>
      <c r="D7" s="456">
        <f t="shared" ref="D7:AY7" si="0">D8+D13</f>
        <v>270404</v>
      </c>
      <c r="E7" s="456">
        <f t="shared" si="0"/>
        <v>232023</v>
      </c>
      <c r="F7" s="457">
        <f t="shared" ref="F7:F21" si="1">E7/C7*100</f>
        <v>43.846424225015681</v>
      </c>
      <c r="G7" s="456">
        <f t="shared" si="0"/>
        <v>34418</v>
      </c>
      <c r="H7" s="456">
        <f t="shared" si="0"/>
        <v>32441</v>
      </c>
      <c r="I7" s="456">
        <f t="shared" si="0"/>
        <v>43516</v>
      </c>
      <c r="J7" s="456">
        <f t="shared" si="0"/>
        <v>42395</v>
      </c>
      <c r="K7" s="456">
        <f t="shared" si="0"/>
        <v>37248</v>
      </c>
      <c r="L7" s="456">
        <f t="shared" si="0"/>
        <v>42005</v>
      </c>
      <c r="M7" s="456">
        <f t="shared" si="0"/>
        <v>0</v>
      </c>
      <c r="N7" s="456">
        <f t="shared" si="0"/>
        <v>0</v>
      </c>
      <c r="O7" s="456">
        <f t="shared" si="0"/>
        <v>0</v>
      </c>
      <c r="P7" s="456">
        <f t="shared" si="0"/>
        <v>0</v>
      </c>
      <c r="Q7" s="456">
        <f t="shared" si="0"/>
        <v>0</v>
      </c>
      <c r="R7" s="456">
        <f t="shared" si="0"/>
        <v>0</v>
      </c>
      <c r="S7" s="456">
        <f t="shared" si="0"/>
        <v>46014</v>
      </c>
      <c r="T7" s="456">
        <f t="shared" si="0"/>
        <v>22754</v>
      </c>
      <c r="U7" s="456">
        <f t="shared" si="0"/>
        <v>19138</v>
      </c>
      <c r="V7" s="457">
        <f t="shared" ref="V7:V11" si="2">U7/S7*100</f>
        <v>41.591689485808672</v>
      </c>
      <c r="W7" s="456">
        <f t="shared" si="0"/>
        <v>3622</v>
      </c>
      <c r="X7" s="456">
        <f t="shared" si="0"/>
        <v>3392</v>
      </c>
      <c r="Y7" s="456">
        <f t="shared" si="0"/>
        <v>3531</v>
      </c>
      <c r="Z7" s="456">
        <f t="shared" si="0"/>
        <v>2959</v>
      </c>
      <c r="AA7" s="456">
        <f t="shared" si="0"/>
        <v>2352</v>
      </c>
      <c r="AB7" s="456">
        <f t="shared" si="0"/>
        <v>3282</v>
      </c>
      <c r="AC7" s="456">
        <f t="shared" si="0"/>
        <v>0</v>
      </c>
      <c r="AD7" s="456">
        <f t="shared" si="0"/>
        <v>0</v>
      </c>
      <c r="AE7" s="456">
        <f t="shared" si="0"/>
        <v>0</v>
      </c>
      <c r="AF7" s="456">
        <f t="shared" si="0"/>
        <v>0</v>
      </c>
      <c r="AG7" s="456">
        <f t="shared" si="0"/>
        <v>0</v>
      </c>
      <c r="AH7" s="456">
        <f t="shared" si="0"/>
        <v>0</v>
      </c>
      <c r="AI7" s="456">
        <v>363019</v>
      </c>
      <c r="AJ7" s="456">
        <f t="shared" si="0"/>
        <v>172400</v>
      </c>
      <c r="AK7" s="456">
        <f t="shared" si="0"/>
        <v>132068</v>
      </c>
      <c r="AL7" s="458">
        <f t="shared" ref="AL7:AL21" si="3">AK7/AI7*100</f>
        <v>36.380464934342278</v>
      </c>
      <c r="AM7" s="456">
        <f t="shared" si="0"/>
        <v>21202</v>
      </c>
      <c r="AN7" s="456">
        <f t="shared" si="0"/>
        <v>20246</v>
      </c>
      <c r="AO7" s="456">
        <f t="shared" si="0"/>
        <v>24825</v>
      </c>
      <c r="AP7" s="456">
        <f t="shared" si="0"/>
        <v>20688</v>
      </c>
      <c r="AQ7" s="456">
        <f t="shared" si="0"/>
        <v>19410</v>
      </c>
      <c r="AR7" s="456">
        <f t="shared" si="0"/>
        <v>25697</v>
      </c>
      <c r="AS7" s="456">
        <f t="shared" si="0"/>
        <v>0</v>
      </c>
      <c r="AT7" s="456">
        <f t="shared" si="0"/>
        <v>0</v>
      </c>
      <c r="AU7" s="456">
        <f t="shared" si="0"/>
        <v>0</v>
      </c>
      <c r="AV7" s="456">
        <f t="shared" si="0"/>
        <v>0</v>
      </c>
      <c r="AW7" s="456">
        <f t="shared" si="0"/>
        <v>0</v>
      </c>
      <c r="AX7" s="456">
        <f t="shared" si="0"/>
        <v>0</v>
      </c>
      <c r="AY7" s="456">
        <f t="shared" si="0"/>
        <v>8469.7822763306904</v>
      </c>
      <c r="AZ7" s="397" t="e">
        <f>+#REF!/(#REF!*365)%</f>
        <v>#REF!</v>
      </c>
      <c r="BA7" s="459" t="e">
        <f>+#REF!/(#REF!*365)%</f>
        <v>#REF!</v>
      </c>
      <c r="BB7" s="453"/>
      <c r="BC7" s="454"/>
    </row>
    <row r="8" spans="1:81" s="390" customFormat="1" ht="24" customHeight="1">
      <c r="A8" s="460" t="s">
        <v>12</v>
      </c>
      <c r="B8" s="461" t="s">
        <v>279</v>
      </c>
      <c r="C8" s="463">
        <f>SUM(C9:C12)</f>
        <v>30172</v>
      </c>
      <c r="D8" s="463">
        <f>SUM(D9:D12)</f>
        <v>11585</v>
      </c>
      <c r="E8" s="463">
        <f>SUM(E9:E12)</f>
        <v>11869</v>
      </c>
      <c r="F8" s="458">
        <f t="shared" si="1"/>
        <v>39.337796632639531</v>
      </c>
      <c r="G8" s="463">
        <f>SUM(G9:G12)</f>
        <v>2272</v>
      </c>
      <c r="H8" s="463">
        <f t="shared" ref="H8:R8" si="4">SUM(H9:H12)</f>
        <v>2022</v>
      </c>
      <c r="I8" s="463">
        <f t="shared" si="4"/>
        <v>2145</v>
      </c>
      <c r="J8" s="463">
        <f t="shared" si="4"/>
        <v>1355</v>
      </c>
      <c r="K8" s="463">
        <f t="shared" si="4"/>
        <v>1661</v>
      </c>
      <c r="L8" s="463">
        <f t="shared" si="4"/>
        <v>2414</v>
      </c>
      <c r="M8" s="463">
        <f t="shared" si="4"/>
        <v>0</v>
      </c>
      <c r="N8" s="463">
        <f t="shared" si="4"/>
        <v>0</v>
      </c>
      <c r="O8" s="463">
        <f t="shared" si="4"/>
        <v>0</v>
      </c>
      <c r="P8" s="463">
        <f t="shared" si="4"/>
        <v>0</v>
      </c>
      <c r="Q8" s="463">
        <f t="shared" si="4"/>
        <v>0</v>
      </c>
      <c r="R8" s="463">
        <f t="shared" si="4"/>
        <v>0</v>
      </c>
      <c r="S8" s="463">
        <f>SUM(S9:S12)</f>
        <v>16064</v>
      </c>
      <c r="T8" s="463">
        <f>SUM(T9:T12)</f>
        <v>7115</v>
      </c>
      <c r="U8" s="463">
        <f>SUM(U9:U12)</f>
        <v>6075</v>
      </c>
      <c r="V8" s="458">
        <f t="shared" si="2"/>
        <v>37.817480079681275</v>
      </c>
      <c r="W8" s="463">
        <f>SUM(W9:W12)</f>
        <v>1142</v>
      </c>
      <c r="X8" s="463">
        <f t="shared" ref="X8:AJ8" si="5">SUM(X9:X12)</f>
        <v>1050</v>
      </c>
      <c r="Y8" s="463">
        <f t="shared" si="5"/>
        <v>1072</v>
      </c>
      <c r="Z8" s="463">
        <f t="shared" si="5"/>
        <v>740</v>
      </c>
      <c r="AA8" s="463">
        <f t="shared" si="5"/>
        <v>790</v>
      </c>
      <c r="AB8" s="463">
        <f t="shared" si="5"/>
        <v>1281</v>
      </c>
      <c r="AC8" s="463">
        <f t="shared" si="5"/>
        <v>0</v>
      </c>
      <c r="AD8" s="463">
        <f t="shared" si="5"/>
        <v>0</v>
      </c>
      <c r="AE8" s="463">
        <f t="shared" si="5"/>
        <v>0</v>
      </c>
      <c r="AF8" s="463">
        <f t="shared" si="5"/>
        <v>0</v>
      </c>
      <c r="AG8" s="463">
        <f t="shared" si="5"/>
        <v>0</v>
      </c>
      <c r="AH8" s="463">
        <f t="shared" si="5"/>
        <v>0</v>
      </c>
      <c r="AI8" s="463">
        <f t="shared" si="5"/>
        <v>12619</v>
      </c>
      <c r="AJ8" s="463">
        <f t="shared" si="5"/>
        <v>4416</v>
      </c>
      <c r="AK8" s="463">
        <f>SUM(AK9:AK12)</f>
        <v>5685</v>
      </c>
      <c r="AL8" s="458">
        <f t="shared" si="3"/>
        <v>45.05111340042793</v>
      </c>
      <c r="AM8" s="463">
        <f>SUM(AM9:AM12)</f>
        <v>1115</v>
      </c>
      <c r="AN8" s="463">
        <f t="shared" ref="AN8:AX8" si="6">SUM(AN9:AN12)</f>
        <v>958</v>
      </c>
      <c r="AO8" s="463">
        <f t="shared" si="6"/>
        <v>1049</v>
      </c>
      <c r="AP8" s="463">
        <f t="shared" si="6"/>
        <v>602</v>
      </c>
      <c r="AQ8" s="463">
        <f t="shared" si="6"/>
        <v>849</v>
      </c>
      <c r="AR8" s="463">
        <f t="shared" si="6"/>
        <v>1112</v>
      </c>
      <c r="AS8" s="463">
        <f t="shared" si="6"/>
        <v>0</v>
      </c>
      <c r="AT8" s="463">
        <f t="shared" si="6"/>
        <v>0</v>
      </c>
      <c r="AU8" s="463">
        <f t="shared" si="6"/>
        <v>0</v>
      </c>
      <c r="AV8" s="463">
        <f t="shared" si="6"/>
        <v>0</v>
      </c>
      <c r="AW8" s="463">
        <f t="shared" si="6"/>
        <v>0</v>
      </c>
      <c r="AX8" s="463">
        <f t="shared" si="6"/>
        <v>0</v>
      </c>
      <c r="AY8" s="463">
        <f>SUM(AY9:AY11)</f>
        <v>8434</v>
      </c>
      <c r="AZ8" s="397" t="e">
        <f>+#REF!/(#REF!*365)%</f>
        <v>#REF!</v>
      </c>
      <c r="BA8" s="397" t="e">
        <f>+#REF!/(#REF!*365)%</f>
        <v>#REF!</v>
      </c>
      <c r="BC8" s="455"/>
    </row>
    <row r="9" spans="1:81" s="392" customFormat="1" ht="24" customHeight="1">
      <c r="A9" s="448">
        <v>1</v>
      </c>
      <c r="B9" s="442" t="s">
        <v>280</v>
      </c>
      <c r="C9" s="441">
        <v>23500</v>
      </c>
      <c r="D9" s="443">
        <v>9864</v>
      </c>
      <c r="E9" s="444">
        <f>SUM(G9:R9)</f>
        <v>9186</v>
      </c>
      <c r="F9" s="440">
        <f t="shared" si="1"/>
        <v>39.089361702127661</v>
      </c>
      <c r="G9" s="443">
        <v>1808</v>
      </c>
      <c r="H9" s="443">
        <v>1549</v>
      </c>
      <c r="I9" s="443">
        <v>1636</v>
      </c>
      <c r="J9" s="443">
        <v>950</v>
      </c>
      <c r="K9" s="443">
        <v>1297</v>
      </c>
      <c r="L9" s="443">
        <v>1946</v>
      </c>
      <c r="M9" s="443"/>
      <c r="N9" s="443"/>
      <c r="O9" s="443"/>
      <c r="P9" s="443"/>
      <c r="Q9" s="443"/>
      <c r="R9" s="443"/>
      <c r="S9" s="441">
        <v>13500</v>
      </c>
      <c r="T9" s="443">
        <v>6061</v>
      </c>
      <c r="U9" s="444">
        <f>SUM(W9:AH9)</f>
        <v>5329</v>
      </c>
      <c r="V9" s="440">
        <f t="shared" si="2"/>
        <v>39.474074074074075</v>
      </c>
      <c r="W9" s="443">
        <v>1011</v>
      </c>
      <c r="X9" s="443">
        <v>945</v>
      </c>
      <c r="Y9" s="443">
        <v>911</v>
      </c>
      <c r="Z9" s="443">
        <v>605</v>
      </c>
      <c r="AA9" s="443">
        <v>731</v>
      </c>
      <c r="AB9" s="443">
        <v>1126</v>
      </c>
      <c r="AC9" s="443"/>
      <c r="AD9" s="443"/>
      <c r="AE9" s="443"/>
      <c r="AF9" s="443"/>
      <c r="AG9" s="443"/>
      <c r="AH9" s="443"/>
      <c r="AI9" s="441">
        <v>9500</v>
      </c>
      <c r="AJ9" s="443">
        <v>3803</v>
      </c>
      <c r="AK9" s="444">
        <f>SUM(AM9:AX9)</f>
        <v>3857</v>
      </c>
      <c r="AL9" s="440">
        <f t="shared" si="3"/>
        <v>40.6</v>
      </c>
      <c r="AM9" s="443">
        <v>797</v>
      </c>
      <c r="AN9" s="443">
        <v>604</v>
      </c>
      <c r="AO9" s="443">
        <v>725</v>
      </c>
      <c r="AP9" s="443">
        <v>345</v>
      </c>
      <c r="AQ9" s="443">
        <v>566</v>
      </c>
      <c r="AR9" s="443">
        <v>820</v>
      </c>
      <c r="AS9" s="443"/>
      <c r="AT9" s="443"/>
      <c r="AU9" s="443"/>
      <c r="AV9" s="443"/>
      <c r="AW9" s="443"/>
      <c r="AX9" s="443"/>
      <c r="AY9" s="445"/>
      <c r="AZ9" s="437" t="e">
        <f>+#REF!/(#REF!*365)%</f>
        <v>#REF!</v>
      </c>
      <c r="BA9" s="437" t="e">
        <f>+#REF!/(#REF!*365)%</f>
        <v>#REF!</v>
      </c>
      <c r="BB9" s="435"/>
      <c r="BC9" s="436"/>
    </row>
    <row r="10" spans="1:81" s="392" customFormat="1" ht="24" customHeight="1">
      <c r="A10" s="448">
        <v>2</v>
      </c>
      <c r="B10" s="442" t="s">
        <v>281</v>
      </c>
      <c r="C10" s="441">
        <v>1800</v>
      </c>
      <c r="D10" s="443">
        <v>751</v>
      </c>
      <c r="E10" s="444">
        <f>SUM(G10:R10)</f>
        <v>645</v>
      </c>
      <c r="F10" s="440">
        <f t="shared" si="1"/>
        <v>35.833333333333336</v>
      </c>
      <c r="G10" s="443">
        <v>84</v>
      </c>
      <c r="H10" s="443">
        <v>108</v>
      </c>
      <c r="I10" s="443">
        <v>158</v>
      </c>
      <c r="J10" s="443">
        <v>123</v>
      </c>
      <c r="K10" s="443">
        <v>63</v>
      </c>
      <c r="L10" s="443">
        <v>109</v>
      </c>
      <c r="M10" s="443"/>
      <c r="N10" s="443"/>
      <c r="O10" s="443"/>
      <c r="P10" s="443"/>
      <c r="Q10" s="443"/>
      <c r="R10" s="443"/>
      <c r="S10" s="441">
        <v>1300</v>
      </c>
      <c r="T10" s="443">
        <v>544</v>
      </c>
      <c r="U10" s="444">
        <f>SUM(W10:AH10)</f>
        <v>430</v>
      </c>
      <c r="V10" s="440">
        <f t="shared" si="2"/>
        <v>33.076923076923073</v>
      </c>
      <c r="W10" s="443">
        <v>63</v>
      </c>
      <c r="X10" s="443">
        <v>67</v>
      </c>
      <c r="Y10" s="443">
        <v>111</v>
      </c>
      <c r="Z10" s="443">
        <v>81</v>
      </c>
      <c r="AA10" s="443">
        <v>32</v>
      </c>
      <c r="AB10" s="443">
        <v>76</v>
      </c>
      <c r="AC10" s="443"/>
      <c r="AD10" s="443"/>
      <c r="AE10" s="443"/>
      <c r="AF10" s="443"/>
      <c r="AG10" s="443"/>
      <c r="AH10" s="443"/>
      <c r="AI10" s="441">
        <v>250</v>
      </c>
      <c r="AJ10" s="443">
        <v>172</v>
      </c>
      <c r="AK10" s="444">
        <f>SUM(AM10:AX10)</f>
        <v>203</v>
      </c>
      <c r="AL10" s="440">
        <f t="shared" si="3"/>
        <v>81.2</v>
      </c>
      <c r="AM10" s="443">
        <v>21</v>
      </c>
      <c r="AN10" s="443">
        <v>39</v>
      </c>
      <c r="AO10" s="443">
        <v>43</v>
      </c>
      <c r="AP10" s="443">
        <v>39</v>
      </c>
      <c r="AQ10" s="443">
        <v>29</v>
      </c>
      <c r="AR10" s="443">
        <v>32</v>
      </c>
      <c r="AS10" s="443"/>
      <c r="AT10" s="443"/>
      <c r="AU10" s="443"/>
      <c r="AV10" s="443"/>
      <c r="AW10" s="443"/>
      <c r="AX10" s="443"/>
      <c r="AY10" s="445"/>
      <c r="AZ10" s="437" t="e">
        <f>+#REF!/(#REF!*365)%</f>
        <v>#REF!</v>
      </c>
      <c r="BA10" s="437" t="e">
        <f>+#REF!/(#REF!*365)%</f>
        <v>#REF!</v>
      </c>
    </row>
    <row r="11" spans="1:81" s="392" customFormat="1" ht="24" customHeight="1">
      <c r="A11" s="448">
        <v>3</v>
      </c>
      <c r="B11" s="442" t="s">
        <v>282</v>
      </c>
      <c r="C11" s="441">
        <v>1372</v>
      </c>
      <c r="D11" s="443">
        <v>548</v>
      </c>
      <c r="E11" s="444">
        <f>SUM(G11:R11)</f>
        <v>352</v>
      </c>
      <c r="F11" s="440">
        <f t="shared" si="1"/>
        <v>25.655976676384839</v>
      </c>
      <c r="G11" s="443">
        <v>81</v>
      </c>
      <c r="H11" s="443">
        <v>44</v>
      </c>
      <c r="I11" s="443">
        <v>51</v>
      </c>
      <c r="J11" s="443">
        <v>56</v>
      </c>
      <c r="K11" s="443">
        <v>31</v>
      </c>
      <c r="L11" s="443">
        <v>89</v>
      </c>
      <c r="M11" s="443"/>
      <c r="N11" s="443"/>
      <c r="O11" s="443"/>
      <c r="P11" s="443"/>
      <c r="Q11" s="443"/>
      <c r="R11" s="443"/>
      <c r="S11" s="441">
        <v>1264</v>
      </c>
      <c r="T11" s="443">
        <v>510</v>
      </c>
      <c r="U11" s="444">
        <f>SUM(W11:AH11)</f>
        <v>316</v>
      </c>
      <c r="V11" s="440">
        <f t="shared" si="2"/>
        <v>25</v>
      </c>
      <c r="W11" s="443">
        <v>68</v>
      </c>
      <c r="X11" s="443">
        <v>38</v>
      </c>
      <c r="Y11" s="443">
        <v>50</v>
      </c>
      <c r="Z11" s="443">
        <v>54</v>
      </c>
      <c r="AA11" s="443">
        <v>27</v>
      </c>
      <c r="AB11" s="443">
        <v>79</v>
      </c>
      <c r="AC11" s="443"/>
      <c r="AD11" s="443"/>
      <c r="AE11" s="443"/>
      <c r="AF11" s="443"/>
      <c r="AG11" s="443"/>
      <c r="AH11" s="443"/>
      <c r="AI11" s="441">
        <v>69</v>
      </c>
      <c r="AJ11" s="443">
        <v>19</v>
      </c>
      <c r="AK11" s="444">
        <f>SUM(AM11:AX11)</f>
        <v>30</v>
      </c>
      <c r="AL11" s="440">
        <f t="shared" si="3"/>
        <v>43.478260869565219</v>
      </c>
      <c r="AM11" s="443">
        <v>11</v>
      </c>
      <c r="AN11" s="443">
        <v>4</v>
      </c>
      <c r="AO11" s="443">
        <v>1</v>
      </c>
      <c r="AP11" s="443">
        <v>0</v>
      </c>
      <c r="AQ11" s="443">
        <v>4</v>
      </c>
      <c r="AR11" s="443">
        <v>10</v>
      </c>
      <c r="AS11" s="443"/>
      <c r="AT11" s="443"/>
      <c r="AU11" s="443"/>
      <c r="AV11" s="443"/>
      <c r="AW11" s="443"/>
      <c r="AX11" s="443"/>
      <c r="AY11" s="445">
        <v>8434</v>
      </c>
      <c r="AZ11" s="437">
        <v>33.009784735812133</v>
      </c>
      <c r="BA11" s="437"/>
      <c r="BB11" s="435"/>
    </row>
    <row r="12" spans="1:81" s="392" customFormat="1" ht="24" customHeight="1">
      <c r="A12" s="448">
        <v>4</v>
      </c>
      <c r="B12" s="426" t="s">
        <v>308</v>
      </c>
      <c r="C12" s="441">
        <v>3500</v>
      </c>
      <c r="D12" s="443">
        <v>422</v>
      </c>
      <c r="E12" s="444">
        <f>SUM(G12:R12)</f>
        <v>1686</v>
      </c>
      <c r="F12" s="440">
        <f t="shared" si="1"/>
        <v>48.171428571428571</v>
      </c>
      <c r="G12" s="443">
        <v>299</v>
      </c>
      <c r="H12" s="443">
        <v>321</v>
      </c>
      <c r="I12" s="443">
        <v>300</v>
      </c>
      <c r="J12" s="443">
        <v>226</v>
      </c>
      <c r="K12" s="443">
        <v>270</v>
      </c>
      <c r="L12" s="443">
        <v>270</v>
      </c>
      <c r="M12" s="443"/>
      <c r="N12" s="443"/>
      <c r="O12" s="443"/>
      <c r="P12" s="443"/>
      <c r="Q12" s="443"/>
      <c r="R12" s="443"/>
      <c r="S12" s="441">
        <v>0</v>
      </c>
      <c r="T12" s="443"/>
      <c r="U12" s="444">
        <f>SUM(W12:AH12)</f>
        <v>0</v>
      </c>
      <c r="V12" s="440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1">
        <v>2800</v>
      </c>
      <c r="AJ12" s="443">
        <v>422</v>
      </c>
      <c r="AK12" s="444">
        <f>SUM(AM12:AX12)</f>
        <v>1595</v>
      </c>
      <c r="AL12" s="440">
        <f t="shared" si="3"/>
        <v>56.964285714285708</v>
      </c>
      <c r="AM12" s="443">
        <v>286</v>
      </c>
      <c r="AN12" s="443">
        <v>311</v>
      </c>
      <c r="AO12" s="443">
        <v>280</v>
      </c>
      <c r="AP12" s="443">
        <v>218</v>
      </c>
      <c r="AQ12" s="443">
        <v>250</v>
      </c>
      <c r="AR12" s="443">
        <v>250</v>
      </c>
      <c r="AS12" s="443"/>
      <c r="AT12" s="443"/>
      <c r="AU12" s="443"/>
      <c r="AV12" s="443"/>
      <c r="AW12" s="443"/>
      <c r="AX12" s="443"/>
      <c r="AY12" s="445"/>
      <c r="AZ12" s="437"/>
      <c r="BA12" s="437"/>
      <c r="BB12" s="435"/>
    </row>
    <row r="13" spans="1:81" s="390" customFormat="1" ht="24" customHeight="1">
      <c r="A13" s="460" t="s">
        <v>101</v>
      </c>
      <c r="B13" s="461" t="s">
        <v>283</v>
      </c>
      <c r="C13" s="456">
        <f>SUM(C14:C21)</f>
        <v>502500</v>
      </c>
      <c r="D13" s="456">
        <f>SUM(D14:D21)</f>
        <v>258819</v>
      </c>
      <c r="E13" s="456">
        <f>SUM(E14:E21)</f>
        <v>220154</v>
      </c>
      <c r="F13" s="457">
        <f t="shared" si="1"/>
        <v>43.811741293532336</v>
      </c>
      <c r="G13" s="456">
        <f t="shared" ref="G13:R13" si="7">SUM(G14:G21)</f>
        <v>32146</v>
      </c>
      <c r="H13" s="456">
        <f t="shared" si="7"/>
        <v>30419</v>
      </c>
      <c r="I13" s="456">
        <f t="shared" si="7"/>
        <v>41371</v>
      </c>
      <c r="J13" s="456">
        <f t="shared" si="7"/>
        <v>41040</v>
      </c>
      <c r="K13" s="456">
        <f t="shared" si="7"/>
        <v>35587</v>
      </c>
      <c r="L13" s="456">
        <f t="shared" si="7"/>
        <v>39591</v>
      </c>
      <c r="M13" s="456">
        <f t="shared" si="7"/>
        <v>0</v>
      </c>
      <c r="N13" s="456">
        <f t="shared" si="7"/>
        <v>0</v>
      </c>
      <c r="O13" s="456">
        <f t="shared" si="7"/>
        <v>0</v>
      </c>
      <c r="P13" s="456">
        <f t="shared" si="7"/>
        <v>0</v>
      </c>
      <c r="Q13" s="456">
        <f t="shared" si="7"/>
        <v>0</v>
      </c>
      <c r="R13" s="456">
        <f t="shared" si="7"/>
        <v>0</v>
      </c>
      <c r="S13" s="456">
        <f>SUM(S14:S21)</f>
        <v>29950</v>
      </c>
      <c r="T13" s="456">
        <f>SUM(T14:T21)</f>
        <v>15639</v>
      </c>
      <c r="U13" s="456">
        <f>SUM(U14:U21)</f>
        <v>13063</v>
      </c>
      <c r="V13" s="457">
        <f t="shared" ref="V13:V20" si="8">U13/S13*100</f>
        <v>43.616026711185306</v>
      </c>
      <c r="W13" s="456">
        <f t="shared" ref="W13:AX13" si="9">SUM(W14:W21)</f>
        <v>2480</v>
      </c>
      <c r="X13" s="456">
        <f t="shared" si="9"/>
        <v>2342</v>
      </c>
      <c r="Y13" s="456">
        <f t="shared" si="9"/>
        <v>2459</v>
      </c>
      <c r="Z13" s="456">
        <f t="shared" si="9"/>
        <v>2219</v>
      </c>
      <c r="AA13" s="456">
        <f t="shared" si="9"/>
        <v>1562</v>
      </c>
      <c r="AB13" s="456">
        <f t="shared" si="9"/>
        <v>2001</v>
      </c>
      <c r="AC13" s="456">
        <f t="shared" si="9"/>
        <v>0</v>
      </c>
      <c r="AD13" s="456">
        <f t="shared" si="9"/>
        <v>0</v>
      </c>
      <c r="AE13" s="456">
        <f t="shared" si="9"/>
        <v>0</v>
      </c>
      <c r="AF13" s="456">
        <f t="shared" si="9"/>
        <v>0</v>
      </c>
      <c r="AG13" s="456">
        <f t="shared" si="9"/>
        <v>0</v>
      </c>
      <c r="AH13" s="456">
        <f t="shared" si="9"/>
        <v>0</v>
      </c>
      <c r="AI13" s="456">
        <f t="shared" si="9"/>
        <v>353200</v>
      </c>
      <c r="AJ13" s="456">
        <f t="shared" si="9"/>
        <v>167984</v>
      </c>
      <c r="AK13" s="456">
        <f t="shared" si="9"/>
        <v>126383</v>
      </c>
      <c r="AL13" s="458">
        <f t="shared" si="3"/>
        <v>35.782276330690827</v>
      </c>
      <c r="AM13" s="456">
        <f t="shared" si="9"/>
        <v>20087</v>
      </c>
      <c r="AN13" s="456">
        <f t="shared" si="9"/>
        <v>19288</v>
      </c>
      <c r="AO13" s="456">
        <f t="shared" si="9"/>
        <v>23776</v>
      </c>
      <c r="AP13" s="456">
        <f t="shared" si="9"/>
        <v>20086</v>
      </c>
      <c r="AQ13" s="456">
        <f t="shared" si="9"/>
        <v>18561</v>
      </c>
      <c r="AR13" s="456">
        <f t="shared" si="9"/>
        <v>24585</v>
      </c>
      <c r="AS13" s="456">
        <f t="shared" si="9"/>
        <v>0</v>
      </c>
      <c r="AT13" s="456">
        <f t="shared" si="9"/>
        <v>0</v>
      </c>
      <c r="AU13" s="456">
        <f t="shared" si="9"/>
        <v>0</v>
      </c>
      <c r="AV13" s="456">
        <f t="shared" si="9"/>
        <v>0</v>
      </c>
      <c r="AW13" s="456">
        <f t="shared" si="9"/>
        <v>0</v>
      </c>
      <c r="AX13" s="456">
        <f t="shared" si="9"/>
        <v>0</v>
      </c>
      <c r="AY13" s="462">
        <f>AK13/AI13%</f>
        <v>35.782276330690827</v>
      </c>
      <c r="AZ13" s="397" t="e">
        <f>+#REF!/(#REF!*365)%</f>
        <v>#REF!</v>
      </c>
      <c r="BA13" s="397" t="e">
        <f>+#REF!/(#REF!*365)%</f>
        <v>#REF!</v>
      </c>
    </row>
    <row r="14" spans="1:81" s="392" customFormat="1" ht="24" customHeight="1">
      <c r="A14" s="448">
        <v>1</v>
      </c>
      <c r="B14" s="442" t="s">
        <v>284</v>
      </c>
      <c r="C14" s="441">
        <v>70000</v>
      </c>
      <c r="D14" s="441">
        <v>26579</v>
      </c>
      <c r="E14" s="441">
        <f>SUM(G14:R14)</f>
        <v>15304</v>
      </c>
      <c r="F14" s="451">
        <f t="shared" si="1"/>
        <v>21.862857142857141</v>
      </c>
      <c r="G14" s="443">
        <v>2694</v>
      </c>
      <c r="H14" s="443">
        <v>2084</v>
      </c>
      <c r="I14" s="443">
        <v>2787</v>
      </c>
      <c r="J14" s="443">
        <v>1793</v>
      </c>
      <c r="K14" s="443">
        <v>3721</v>
      </c>
      <c r="L14" s="443">
        <v>2225</v>
      </c>
      <c r="M14" s="443"/>
      <c r="N14" s="443"/>
      <c r="O14" s="443"/>
      <c r="P14" s="443"/>
      <c r="Q14" s="443"/>
      <c r="R14" s="443"/>
      <c r="S14" s="441">
        <v>5000</v>
      </c>
      <c r="T14" s="443">
        <v>2097</v>
      </c>
      <c r="U14" s="441">
        <f>SUM(W14:AH14)</f>
        <v>1112</v>
      </c>
      <c r="V14" s="451">
        <f t="shared" si="8"/>
        <v>22.24</v>
      </c>
      <c r="W14" s="443">
        <v>183</v>
      </c>
      <c r="X14" s="443">
        <v>200</v>
      </c>
      <c r="Y14" s="443">
        <v>281</v>
      </c>
      <c r="Z14" s="443">
        <v>142</v>
      </c>
      <c r="AA14" s="443">
        <v>192</v>
      </c>
      <c r="AB14" s="443">
        <v>114</v>
      </c>
      <c r="AC14" s="443"/>
      <c r="AD14" s="443"/>
      <c r="AE14" s="443"/>
      <c r="AF14" s="443"/>
      <c r="AG14" s="443"/>
      <c r="AH14" s="443"/>
      <c r="AI14" s="441">
        <v>60500</v>
      </c>
      <c r="AJ14" s="443">
        <v>23624</v>
      </c>
      <c r="AK14" s="441">
        <f>SUM(AM14:AX14)</f>
        <v>13169</v>
      </c>
      <c r="AL14" s="440">
        <f t="shared" si="3"/>
        <v>21.766942148760329</v>
      </c>
      <c r="AM14" s="443">
        <v>2463</v>
      </c>
      <c r="AN14" s="443">
        <v>1884</v>
      </c>
      <c r="AO14" s="443">
        <v>2106</v>
      </c>
      <c r="AP14" s="443">
        <v>1611</v>
      </c>
      <c r="AQ14" s="443">
        <v>3394</v>
      </c>
      <c r="AR14" s="443">
        <v>1711</v>
      </c>
      <c r="AS14" s="443"/>
      <c r="AT14" s="443"/>
      <c r="AU14" s="443"/>
      <c r="AV14" s="443"/>
      <c r="AW14" s="443"/>
      <c r="AX14" s="443"/>
      <c r="AY14" s="443">
        <v>819</v>
      </c>
      <c r="AZ14" s="437" t="e">
        <f>+#REF!/(#REF!*365)%</f>
        <v>#REF!</v>
      </c>
      <c r="BA14" s="437" t="e">
        <f>+#REF!/(#REF!*365)%</f>
        <v>#REF!</v>
      </c>
    </row>
    <row r="15" spans="1:81" s="392" customFormat="1" ht="24" customHeight="1">
      <c r="A15" s="448">
        <v>2</v>
      </c>
      <c r="B15" s="442" t="s">
        <v>285</v>
      </c>
      <c r="C15" s="441">
        <v>80000</v>
      </c>
      <c r="D15" s="441">
        <v>36698</v>
      </c>
      <c r="E15" s="441">
        <f t="shared" ref="E15:E21" si="10">SUM(G15:R15)</f>
        <v>36951</v>
      </c>
      <c r="F15" s="451">
        <f t="shared" si="1"/>
        <v>46.188749999999999</v>
      </c>
      <c r="G15" s="443">
        <v>5109</v>
      </c>
      <c r="H15" s="443">
        <v>7674</v>
      </c>
      <c r="I15" s="443">
        <v>7147</v>
      </c>
      <c r="J15" s="443">
        <v>4897</v>
      </c>
      <c r="K15" s="443">
        <v>5909</v>
      </c>
      <c r="L15" s="443">
        <v>6215</v>
      </c>
      <c r="M15" s="443"/>
      <c r="N15" s="443"/>
      <c r="O15" s="443"/>
      <c r="P15" s="443"/>
      <c r="Q15" s="443"/>
      <c r="R15" s="443"/>
      <c r="S15" s="441">
        <v>5000</v>
      </c>
      <c r="T15" s="443">
        <v>2545</v>
      </c>
      <c r="U15" s="441">
        <f t="shared" ref="U15:U21" si="11">SUM(W15:AH15)</f>
        <v>2146</v>
      </c>
      <c r="V15" s="451">
        <f t="shared" si="8"/>
        <v>42.92</v>
      </c>
      <c r="W15" s="443">
        <v>308</v>
      </c>
      <c r="X15" s="443">
        <v>459</v>
      </c>
      <c r="Y15" s="443">
        <v>397</v>
      </c>
      <c r="Z15" s="443">
        <v>229</v>
      </c>
      <c r="AA15" s="443">
        <v>358</v>
      </c>
      <c r="AB15" s="443">
        <v>395</v>
      </c>
      <c r="AC15" s="443"/>
      <c r="AD15" s="443"/>
      <c r="AE15" s="443"/>
      <c r="AF15" s="443"/>
      <c r="AG15" s="443"/>
      <c r="AH15" s="443"/>
      <c r="AI15" s="441">
        <v>65000</v>
      </c>
      <c r="AJ15" s="443">
        <v>30461</v>
      </c>
      <c r="AK15" s="441">
        <f t="shared" ref="AK15:AK21" si="12">SUM(AM15:AX15)</f>
        <v>32517</v>
      </c>
      <c r="AL15" s="440">
        <f t="shared" si="3"/>
        <v>50.026153846153839</v>
      </c>
      <c r="AM15" s="443">
        <v>4421</v>
      </c>
      <c r="AN15" s="443">
        <v>6758</v>
      </c>
      <c r="AO15" s="443">
        <v>6348</v>
      </c>
      <c r="AP15" s="443">
        <v>4240</v>
      </c>
      <c r="AQ15" s="443">
        <v>5180</v>
      </c>
      <c r="AR15" s="443">
        <v>5570</v>
      </c>
      <c r="AS15" s="443"/>
      <c r="AT15" s="443"/>
      <c r="AU15" s="443"/>
      <c r="AV15" s="443"/>
      <c r="AW15" s="443"/>
      <c r="AX15" s="443"/>
      <c r="AY15" s="445"/>
      <c r="AZ15" s="437">
        <v>4200</v>
      </c>
      <c r="BA15" s="437">
        <v>3016</v>
      </c>
      <c r="BH15" s="392">
        <v>472</v>
      </c>
      <c r="BI15" s="392">
        <v>381</v>
      </c>
      <c r="BJ15" s="392">
        <v>659</v>
      </c>
      <c r="BK15" s="392">
        <v>650</v>
      </c>
      <c r="BL15" s="392">
        <v>654</v>
      </c>
      <c r="BQ15" s="392">
        <v>70000</v>
      </c>
      <c r="BR15" s="392">
        <v>47710</v>
      </c>
      <c r="BS15" s="392">
        <v>49193</v>
      </c>
      <c r="BT15" s="392">
        <v>70.275714285714287</v>
      </c>
      <c r="BU15" s="392">
        <v>5234</v>
      </c>
      <c r="BV15" s="392">
        <v>3980</v>
      </c>
      <c r="BW15" s="392">
        <v>5692</v>
      </c>
      <c r="BX15" s="392">
        <v>5686</v>
      </c>
      <c r="BY15" s="392">
        <v>5250</v>
      </c>
      <c r="BZ15" s="392">
        <v>4429</v>
      </c>
      <c r="CA15" s="392">
        <v>6224</v>
      </c>
      <c r="CB15" s="392">
        <v>6391</v>
      </c>
      <c r="CC15" s="392">
        <v>6307</v>
      </c>
    </row>
    <row r="16" spans="1:81" s="392" customFormat="1" ht="24" customHeight="1">
      <c r="A16" s="448">
        <v>3</v>
      </c>
      <c r="B16" s="442" t="s">
        <v>286</v>
      </c>
      <c r="C16" s="441">
        <v>100000</v>
      </c>
      <c r="D16" s="441">
        <v>64210</v>
      </c>
      <c r="E16" s="441">
        <f t="shared" si="10"/>
        <v>52967</v>
      </c>
      <c r="F16" s="451">
        <f t="shared" si="1"/>
        <v>52.966999999999999</v>
      </c>
      <c r="G16" s="443">
        <v>6353</v>
      </c>
      <c r="H16" s="443">
        <v>6047</v>
      </c>
      <c r="I16" s="443">
        <v>8980</v>
      </c>
      <c r="J16" s="443">
        <v>11258</v>
      </c>
      <c r="K16" s="443">
        <v>9892</v>
      </c>
      <c r="L16" s="443">
        <v>10437</v>
      </c>
      <c r="M16" s="443"/>
      <c r="N16" s="443"/>
      <c r="O16" s="443"/>
      <c r="P16" s="443"/>
      <c r="Q16" s="443"/>
      <c r="R16" s="443"/>
      <c r="S16" s="441">
        <v>5000</v>
      </c>
      <c r="T16" s="443">
        <v>2443</v>
      </c>
      <c r="U16" s="441">
        <f t="shared" si="11"/>
        <v>1807</v>
      </c>
      <c r="V16" s="451">
        <f t="shared" si="8"/>
        <v>36.14</v>
      </c>
      <c r="W16" s="443">
        <v>389</v>
      </c>
      <c r="X16" s="443">
        <v>322</v>
      </c>
      <c r="Y16" s="443">
        <v>271</v>
      </c>
      <c r="Z16" s="443">
        <v>351</v>
      </c>
      <c r="AA16" s="443">
        <v>207</v>
      </c>
      <c r="AB16" s="443">
        <v>267</v>
      </c>
      <c r="AC16" s="443"/>
      <c r="AD16" s="443"/>
      <c r="AE16" s="443"/>
      <c r="AF16" s="443"/>
      <c r="AG16" s="443"/>
      <c r="AH16" s="443"/>
      <c r="AI16" s="441">
        <v>42000</v>
      </c>
      <c r="AJ16" s="443">
        <v>17665</v>
      </c>
      <c r="AK16" s="441">
        <f t="shared" si="12"/>
        <v>19017</v>
      </c>
      <c r="AL16" s="440">
        <f t="shared" si="3"/>
        <v>45.278571428571432</v>
      </c>
      <c r="AM16" s="443">
        <v>3615</v>
      </c>
      <c r="AN16" s="443">
        <v>2635</v>
      </c>
      <c r="AO16" s="443">
        <v>3618</v>
      </c>
      <c r="AP16" s="443">
        <v>3434</v>
      </c>
      <c r="AQ16" s="443">
        <v>2674</v>
      </c>
      <c r="AR16" s="443">
        <v>3041</v>
      </c>
      <c r="AS16" s="443"/>
      <c r="AT16" s="443"/>
      <c r="AU16" s="443"/>
      <c r="AV16" s="443"/>
      <c r="AW16" s="443"/>
      <c r="AX16" s="443"/>
      <c r="AY16" s="445">
        <f t="shared" ref="AY16:AY21" si="13">AK16/AI16%</f>
        <v>45.278571428571432</v>
      </c>
      <c r="AZ16" s="437" t="e">
        <f>+#REF!/(#REF!*365)%</f>
        <v>#REF!</v>
      </c>
      <c r="BA16" s="437" t="e">
        <f>+#REF!/(#REF!*365)%</f>
        <v>#REF!</v>
      </c>
    </row>
    <row r="17" spans="1:53" s="392" customFormat="1" ht="24" customHeight="1">
      <c r="A17" s="448">
        <v>4</v>
      </c>
      <c r="B17" s="442" t="s">
        <v>287</v>
      </c>
      <c r="C17" s="441">
        <v>83500</v>
      </c>
      <c r="D17" s="441">
        <v>45644</v>
      </c>
      <c r="E17" s="441">
        <f t="shared" si="10"/>
        <v>40630</v>
      </c>
      <c r="F17" s="451">
        <f t="shared" si="1"/>
        <v>48.658682634730539</v>
      </c>
      <c r="G17" s="443">
        <v>5785</v>
      </c>
      <c r="H17" s="443">
        <v>4953</v>
      </c>
      <c r="I17" s="443">
        <v>7670</v>
      </c>
      <c r="J17" s="443">
        <v>8131</v>
      </c>
      <c r="K17" s="443">
        <v>6476</v>
      </c>
      <c r="L17" s="443">
        <v>7615</v>
      </c>
      <c r="M17" s="443"/>
      <c r="N17" s="443"/>
      <c r="O17" s="443"/>
      <c r="P17" s="443"/>
      <c r="Q17" s="443"/>
      <c r="R17" s="443"/>
      <c r="S17" s="441">
        <v>2300</v>
      </c>
      <c r="T17" s="443">
        <v>1827</v>
      </c>
      <c r="U17" s="441">
        <f t="shared" si="11"/>
        <v>1811</v>
      </c>
      <c r="V17" s="451">
        <f t="shared" si="8"/>
        <v>78.739130434782609</v>
      </c>
      <c r="W17" s="443">
        <v>376</v>
      </c>
      <c r="X17" s="443">
        <v>346</v>
      </c>
      <c r="Y17" s="443">
        <v>322</v>
      </c>
      <c r="Z17" s="443">
        <v>318</v>
      </c>
      <c r="AA17" s="443">
        <v>177</v>
      </c>
      <c r="AB17" s="443">
        <v>272</v>
      </c>
      <c r="AC17" s="443"/>
      <c r="AD17" s="443"/>
      <c r="AE17" s="443"/>
      <c r="AF17" s="443"/>
      <c r="AG17" s="443"/>
      <c r="AH17" s="443"/>
      <c r="AI17" s="441">
        <v>40000</v>
      </c>
      <c r="AJ17" s="443">
        <v>21727</v>
      </c>
      <c r="AK17" s="441">
        <f t="shared" si="12"/>
        <v>19846</v>
      </c>
      <c r="AL17" s="440">
        <f t="shared" si="3"/>
        <v>49.614999999999995</v>
      </c>
      <c r="AM17" s="443">
        <v>3628</v>
      </c>
      <c r="AN17" s="443">
        <v>2951</v>
      </c>
      <c r="AO17" s="443">
        <v>3893</v>
      </c>
      <c r="AP17" s="443">
        <v>3694</v>
      </c>
      <c r="AQ17" s="443">
        <v>2530</v>
      </c>
      <c r="AR17" s="443">
        <v>3150</v>
      </c>
      <c r="AS17" s="443"/>
      <c r="AT17" s="443"/>
      <c r="AU17" s="443"/>
      <c r="AV17" s="443"/>
      <c r="AW17" s="443"/>
      <c r="AX17" s="443"/>
      <c r="AY17" s="445">
        <f t="shared" si="13"/>
        <v>49.615000000000002</v>
      </c>
      <c r="AZ17" s="437" t="e">
        <f>+#REF!/(#REF!*365)%</f>
        <v>#REF!</v>
      </c>
      <c r="BA17" s="437" t="e">
        <f>+#REF!/(#REF!*365)%</f>
        <v>#REF!</v>
      </c>
    </row>
    <row r="18" spans="1:53" s="392" customFormat="1" ht="24" customHeight="1">
      <c r="A18" s="448">
        <v>5</v>
      </c>
      <c r="B18" s="442" t="s">
        <v>288</v>
      </c>
      <c r="C18" s="442">
        <v>80000</v>
      </c>
      <c r="D18" s="441">
        <v>36849</v>
      </c>
      <c r="E18" s="441">
        <f t="shared" si="10"/>
        <v>34906</v>
      </c>
      <c r="F18" s="451">
        <f t="shared" si="1"/>
        <v>43.6325</v>
      </c>
      <c r="G18" s="443">
        <v>5989</v>
      </c>
      <c r="H18" s="443">
        <v>4560</v>
      </c>
      <c r="I18" s="443">
        <v>6628</v>
      </c>
      <c r="J18" s="443">
        <v>7151</v>
      </c>
      <c r="K18" s="443">
        <v>4250</v>
      </c>
      <c r="L18" s="443">
        <v>6328</v>
      </c>
      <c r="M18" s="443"/>
      <c r="N18" s="443"/>
      <c r="O18" s="443"/>
      <c r="P18" s="443"/>
      <c r="Q18" s="443"/>
      <c r="R18" s="443"/>
      <c r="S18" s="441">
        <v>6500</v>
      </c>
      <c r="T18" s="443">
        <v>3454</v>
      </c>
      <c r="U18" s="441">
        <f t="shared" si="11"/>
        <v>3295</v>
      </c>
      <c r="V18" s="451">
        <f t="shared" si="8"/>
        <v>50.692307692307693</v>
      </c>
      <c r="W18" s="443">
        <v>664</v>
      </c>
      <c r="X18" s="443">
        <v>535</v>
      </c>
      <c r="Y18" s="443">
        <v>631</v>
      </c>
      <c r="Z18" s="443">
        <v>649</v>
      </c>
      <c r="AA18" s="443">
        <v>304</v>
      </c>
      <c r="AB18" s="443">
        <v>512</v>
      </c>
      <c r="AC18" s="443"/>
      <c r="AD18" s="443"/>
      <c r="AE18" s="443"/>
      <c r="AF18" s="443"/>
      <c r="AG18" s="443"/>
      <c r="AH18" s="443"/>
      <c r="AI18" s="441">
        <v>70000</v>
      </c>
      <c r="AJ18" s="443">
        <v>32952</v>
      </c>
      <c r="AK18" s="441">
        <f t="shared" si="12"/>
        <v>8474</v>
      </c>
      <c r="AL18" s="440">
        <f t="shared" si="3"/>
        <v>12.105714285714287</v>
      </c>
      <c r="AM18" s="443">
        <v>664</v>
      </c>
      <c r="AN18" s="443">
        <v>535</v>
      </c>
      <c r="AO18" s="443">
        <v>631</v>
      </c>
      <c r="AP18" s="443">
        <v>649</v>
      </c>
      <c r="AQ18" s="443">
        <v>304</v>
      </c>
      <c r="AR18" s="443">
        <v>5691</v>
      </c>
      <c r="AS18" s="443"/>
      <c r="AT18" s="443"/>
      <c r="AU18" s="443"/>
      <c r="AV18" s="443"/>
      <c r="AW18" s="443"/>
      <c r="AX18" s="443"/>
      <c r="AY18" s="445">
        <f t="shared" si="13"/>
        <v>12.105714285714285</v>
      </c>
      <c r="AZ18" s="437" t="e">
        <f>+#REF!/(#REF!*365)%</f>
        <v>#REF!</v>
      </c>
      <c r="BA18" s="437" t="e">
        <f>+#REF!/(#REF!*365)%</f>
        <v>#REF!</v>
      </c>
    </row>
    <row r="19" spans="1:53" s="392" customFormat="1" ht="24" customHeight="1">
      <c r="A19" s="448">
        <v>6</v>
      </c>
      <c r="B19" s="442" t="s">
        <v>289</v>
      </c>
      <c r="C19" s="441">
        <v>54000</v>
      </c>
      <c r="D19" s="441">
        <v>33944</v>
      </c>
      <c r="E19" s="441">
        <f t="shared" si="10"/>
        <v>26340</v>
      </c>
      <c r="F19" s="451">
        <f t="shared" si="1"/>
        <v>48.777777777777779</v>
      </c>
      <c r="G19" s="443">
        <v>4183</v>
      </c>
      <c r="H19" s="443">
        <v>3097</v>
      </c>
      <c r="I19" s="443">
        <v>5439</v>
      </c>
      <c r="J19" s="443">
        <v>5389</v>
      </c>
      <c r="K19" s="443">
        <v>3756</v>
      </c>
      <c r="L19" s="443">
        <v>4476</v>
      </c>
      <c r="M19" s="443"/>
      <c r="N19" s="443"/>
      <c r="O19" s="443"/>
      <c r="P19" s="443"/>
      <c r="Q19" s="443"/>
      <c r="R19" s="443"/>
      <c r="S19" s="441">
        <v>4250</v>
      </c>
      <c r="T19" s="443">
        <v>2453</v>
      </c>
      <c r="U19" s="441">
        <f t="shared" si="11"/>
        <v>2169</v>
      </c>
      <c r="V19" s="451">
        <f t="shared" si="8"/>
        <v>51.035294117647055</v>
      </c>
      <c r="W19" s="443">
        <v>427</v>
      </c>
      <c r="X19" s="443">
        <v>369</v>
      </c>
      <c r="Y19" s="443">
        <v>398</v>
      </c>
      <c r="Z19" s="443">
        <v>407</v>
      </c>
      <c r="AA19" s="443">
        <v>224</v>
      </c>
      <c r="AB19" s="443">
        <v>344</v>
      </c>
      <c r="AC19" s="443"/>
      <c r="AD19" s="443"/>
      <c r="AE19" s="443"/>
      <c r="AF19" s="443"/>
      <c r="AG19" s="443"/>
      <c r="AH19" s="443"/>
      <c r="AI19" s="441">
        <v>45000</v>
      </c>
      <c r="AJ19" s="443">
        <v>27963</v>
      </c>
      <c r="AK19" s="441">
        <f t="shared" si="12"/>
        <v>21189</v>
      </c>
      <c r="AL19" s="440">
        <f t="shared" si="3"/>
        <v>47.086666666666666</v>
      </c>
      <c r="AM19" s="443">
        <v>3408</v>
      </c>
      <c r="AN19" s="443">
        <v>2678</v>
      </c>
      <c r="AO19" s="443">
        <v>4659</v>
      </c>
      <c r="AP19" s="443">
        <v>4188</v>
      </c>
      <c r="AQ19" s="443">
        <v>3015</v>
      </c>
      <c r="AR19" s="443">
        <v>3241</v>
      </c>
      <c r="AS19" s="443"/>
      <c r="AT19" s="443"/>
      <c r="AU19" s="443"/>
      <c r="AV19" s="443"/>
      <c r="AW19" s="443"/>
      <c r="AX19" s="443"/>
      <c r="AY19" s="445">
        <f t="shared" si="13"/>
        <v>47.086666666666666</v>
      </c>
      <c r="AZ19" s="437" t="e">
        <f>+#REF!/(#REF!*365)%</f>
        <v>#REF!</v>
      </c>
      <c r="BA19" s="437" t="e">
        <f>+#REF!/(#REF!*365)%</f>
        <v>#REF!</v>
      </c>
    </row>
    <row r="20" spans="1:53" s="392" customFormat="1" ht="24" customHeight="1">
      <c r="A20" s="448">
        <v>7</v>
      </c>
      <c r="B20" s="442" t="s">
        <v>306</v>
      </c>
      <c r="C20" s="441">
        <v>2000</v>
      </c>
      <c r="D20" s="446">
        <v>633</v>
      </c>
      <c r="E20" s="441">
        <f t="shared" si="10"/>
        <v>290</v>
      </c>
      <c r="F20" s="451">
        <f t="shared" si="1"/>
        <v>14.499999999999998</v>
      </c>
      <c r="G20" s="447">
        <v>21</v>
      </c>
      <c r="H20" s="447">
        <v>74</v>
      </c>
      <c r="I20" s="447">
        <v>58</v>
      </c>
      <c r="J20" s="447">
        <v>62</v>
      </c>
      <c r="K20" s="447">
        <v>42</v>
      </c>
      <c r="L20" s="447">
        <v>33</v>
      </c>
      <c r="M20" s="447"/>
      <c r="N20" s="447"/>
      <c r="O20" s="447"/>
      <c r="P20" s="447"/>
      <c r="Q20" s="447"/>
      <c r="R20" s="447"/>
      <c r="S20" s="446">
        <v>100</v>
      </c>
      <c r="T20" s="447"/>
      <c r="U20" s="441">
        <f t="shared" si="11"/>
        <v>0</v>
      </c>
      <c r="V20" s="451">
        <f t="shared" si="8"/>
        <v>0</v>
      </c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6">
        <v>700</v>
      </c>
      <c r="AJ20" s="447">
        <v>253</v>
      </c>
      <c r="AK20" s="441">
        <f t="shared" si="12"/>
        <v>201</v>
      </c>
      <c r="AL20" s="440">
        <f t="shared" si="3"/>
        <v>28.714285714285715</v>
      </c>
      <c r="AM20" s="447">
        <v>13</v>
      </c>
      <c r="AN20" s="447">
        <v>39</v>
      </c>
      <c r="AO20" s="447">
        <v>38</v>
      </c>
      <c r="AP20" s="447">
        <v>49</v>
      </c>
      <c r="AQ20" s="447">
        <v>38</v>
      </c>
      <c r="AR20" s="447">
        <v>24</v>
      </c>
      <c r="AS20" s="447"/>
      <c r="AT20" s="447"/>
      <c r="AU20" s="447"/>
      <c r="AV20" s="447"/>
      <c r="AW20" s="447"/>
      <c r="AX20" s="447"/>
      <c r="AY20" s="445">
        <f t="shared" si="13"/>
        <v>28.714285714285715</v>
      </c>
      <c r="AZ20" s="437" t="e">
        <f>+#REF!/(#REF!*365)%</f>
        <v>#REF!</v>
      </c>
      <c r="BA20" s="437" t="e">
        <f>+#REF!/(#REF!*365)%</f>
        <v>#REF!</v>
      </c>
    </row>
    <row r="21" spans="1:53" s="392" customFormat="1" ht="24" customHeight="1">
      <c r="A21" s="448">
        <v>8</v>
      </c>
      <c r="B21" s="442" t="s">
        <v>290</v>
      </c>
      <c r="C21" s="448">
        <v>33000</v>
      </c>
      <c r="D21" s="449">
        <v>14262</v>
      </c>
      <c r="E21" s="441">
        <f t="shared" si="10"/>
        <v>12766</v>
      </c>
      <c r="F21" s="451">
        <f t="shared" si="1"/>
        <v>38.68484848484848</v>
      </c>
      <c r="G21" s="449">
        <v>2012</v>
      </c>
      <c r="H21" s="449">
        <v>1930</v>
      </c>
      <c r="I21" s="449">
        <v>2662</v>
      </c>
      <c r="J21" s="449">
        <v>2359</v>
      </c>
      <c r="K21" s="449">
        <v>1541</v>
      </c>
      <c r="L21" s="449">
        <v>2262</v>
      </c>
      <c r="M21" s="450"/>
      <c r="N21" s="450"/>
      <c r="O21" s="450"/>
      <c r="P21" s="450"/>
      <c r="Q21" s="450"/>
      <c r="R21" s="450"/>
      <c r="S21" s="448">
        <v>1800</v>
      </c>
      <c r="T21" s="450">
        <v>820</v>
      </c>
      <c r="U21" s="441">
        <f t="shared" si="11"/>
        <v>723</v>
      </c>
      <c r="V21" s="451">
        <f>U21/S21*100</f>
        <v>40.166666666666664</v>
      </c>
      <c r="W21" s="450">
        <v>133</v>
      </c>
      <c r="X21" s="450">
        <v>111</v>
      </c>
      <c r="Y21" s="450">
        <v>159</v>
      </c>
      <c r="Z21" s="450">
        <v>123</v>
      </c>
      <c r="AA21" s="450">
        <v>100</v>
      </c>
      <c r="AB21" s="450">
        <v>97</v>
      </c>
      <c r="AC21" s="450"/>
      <c r="AD21" s="450"/>
      <c r="AE21" s="450"/>
      <c r="AF21" s="450"/>
      <c r="AG21" s="450"/>
      <c r="AH21" s="450"/>
      <c r="AI21" s="448">
        <v>30000</v>
      </c>
      <c r="AJ21" s="450">
        <v>13339</v>
      </c>
      <c r="AK21" s="441">
        <f t="shared" si="12"/>
        <v>11970</v>
      </c>
      <c r="AL21" s="440">
        <f t="shared" si="3"/>
        <v>39.900000000000006</v>
      </c>
      <c r="AM21" s="443">
        <v>1875</v>
      </c>
      <c r="AN21" s="443">
        <v>1808</v>
      </c>
      <c r="AO21" s="443">
        <v>2483</v>
      </c>
      <c r="AP21" s="443">
        <v>2221</v>
      </c>
      <c r="AQ21" s="443">
        <v>1426</v>
      </c>
      <c r="AR21" s="443">
        <v>2157</v>
      </c>
      <c r="AS21" s="450"/>
      <c r="AT21" s="450"/>
      <c r="AU21" s="450"/>
      <c r="AV21" s="450"/>
      <c r="AW21" s="450"/>
      <c r="AX21" s="450"/>
      <c r="AY21" s="445">
        <f t="shared" si="13"/>
        <v>39.9</v>
      </c>
      <c r="AZ21" s="438" t="e">
        <f>+#REF!/(#REF!*365)%</f>
        <v>#REF!</v>
      </c>
      <c r="BA21" s="439" t="e">
        <f>+#REF!/(#REF!*365)%</f>
        <v>#REF!</v>
      </c>
    </row>
    <row r="22" spans="1:53">
      <c r="A22" s="401"/>
      <c r="B22" s="393"/>
      <c r="C22" s="398"/>
      <c r="D22" s="398"/>
      <c r="E22" s="394"/>
      <c r="F22" s="394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393"/>
      <c r="AJ22" s="393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9"/>
      <c r="AZ22" s="400"/>
      <c r="BA22" s="400"/>
    </row>
    <row r="23" spans="1:53">
      <c r="A23" s="401"/>
      <c r="B23" s="393"/>
      <c r="C23" s="401"/>
      <c r="D23" s="401"/>
      <c r="E23" s="402"/>
      <c r="F23" s="402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393"/>
      <c r="AJ23" s="393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9"/>
      <c r="AZ23" s="400"/>
      <c r="BA23" s="400"/>
    </row>
    <row r="24" spans="1:53">
      <c r="C24" s="393"/>
      <c r="D24" s="393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3"/>
      <c r="T24" s="393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3"/>
      <c r="AJ24" s="393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9"/>
      <c r="AZ24" s="400"/>
      <c r="BA24" s="400"/>
    </row>
    <row r="25" spans="1:53">
      <c r="C25" s="393"/>
      <c r="D25" s="393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3"/>
      <c r="T25" s="393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3"/>
      <c r="AJ25" s="393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9"/>
      <c r="AZ25" s="400"/>
      <c r="BA25" s="400"/>
    </row>
    <row r="26" spans="1:53">
      <c r="C26" s="393"/>
      <c r="D26" s="393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3"/>
      <c r="T26" s="393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3"/>
      <c r="AJ26" s="393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9"/>
      <c r="AZ26" s="400"/>
      <c r="BA26" s="400"/>
    </row>
    <row r="27" spans="1:53">
      <c r="C27" s="393"/>
      <c r="D27" s="393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3"/>
      <c r="T27" s="393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3"/>
      <c r="AJ27" s="393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9"/>
      <c r="AZ27" s="400"/>
      <c r="BA27" s="400"/>
    </row>
    <row r="28" spans="1:53">
      <c r="C28" s="393"/>
      <c r="D28" s="393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3"/>
      <c r="T28" s="393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3"/>
      <c r="AJ28" s="393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9"/>
      <c r="AZ28" s="400"/>
      <c r="BA28" s="400"/>
    </row>
    <row r="29" spans="1:53">
      <c r="C29" s="393"/>
      <c r="D29" s="393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3"/>
      <c r="T29" s="393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3"/>
      <c r="AJ29" s="393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9"/>
      <c r="AZ29" s="400"/>
      <c r="BA29" s="400"/>
    </row>
  </sheetData>
  <mergeCells count="28">
    <mergeCell ref="A1:AZ2"/>
    <mergeCell ref="AL5:AL6"/>
    <mergeCell ref="AM5:AX5"/>
    <mergeCell ref="AY5:AY6"/>
    <mergeCell ref="G22:R22"/>
    <mergeCell ref="S22:AH22"/>
    <mergeCell ref="AI5:AI6"/>
    <mergeCell ref="AJ5:AJ6"/>
    <mergeCell ref="AK5:AK6"/>
    <mergeCell ref="D5:D6"/>
    <mergeCell ref="E5:E6"/>
    <mergeCell ref="F5:F6"/>
    <mergeCell ref="A3:A6"/>
    <mergeCell ref="B3:B6"/>
    <mergeCell ref="C3:AY3"/>
    <mergeCell ref="AZ3:BA5"/>
    <mergeCell ref="C4:R4"/>
    <mergeCell ref="S4:AH4"/>
    <mergeCell ref="AI4:AY4"/>
    <mergeCell ref="C5:C6"/>
    <mergeCell ref="G23:R23"/>
    <mergeCell ref="S23:AH23"/>
    <mergeCell ref="U5:U6"/>
    <mergeCell ref="V5:V6"/>
    <mergeCell ref="W5:AH5"/>
    <mergeCell ref="G5:R5"/>
    <mergeCell ref="S5:S6"/>
    <mergeCell ref="T5:T6"/>
  </mergeCells>
  <pageMargins left="0.32" right="0.27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31"/>
  <sheetViews>
    <sheetView topLeftCell="A7" workbookViewId="0">
      <selection activeCell="BC16" sqref="BC16"/>
    </sheetView>
  </sheetViews>
  <sheetFormatPr defaultRowHeight="12.75"/>
  <cols>
    <col min="1" max="1" width="5.625" style="392" customWidth="1"/>
    <col min="2" max="2" width="17.875" style="392" customWidth="1"/>
    <col min="3" max="3" width="9.75" style="392" customWidth="1"/>
    <col min="4" max="4" width="8.75" style="392" customWidth="1"/>
    <col min="5" max="5" width="7.75" style="389" customWidth="1"/>
    <col min="6" max="6" width="6.75" style="389" customWidth="1"/>
    <col min="7" max="17" width="0" style="389" hidden="1" customWidth="1"/>
    <col min="18" max="18" width="0.25" style="389" hidden="1" customWidth="1"/>
    <col min="19" max="19" width="8.875" style="392" customWidth="1"/>
    <col min="20" max="20" width="8.625" style="392" customWidth="1"/>
    <col min="21" max="21" width="7.125" style="389" customWidth="1"/>
    <col min="22" max="22" width="7.75" style="389" customWidth="1"/>
    <col min="23" max="34" width="0" style="389" hidden="1" customWidth="1"/>
    <col min="35" max="35" width="7.625" style="392" customWidth="1"/>
    <col min="36" max="36" width="8.375" style="392" customWidth="1"/>
    <col min="37" max="37" width="7.75" style="389" customWidth="1"/>
    <col min="38" max="38" width="8.25" style="389" customWidth="1"/>
    <col min="39" max="50" width="0" style="389" hidden="1" customWidth="1"/>
    <col min="51" max="16384" width="9" style="389"/>
  </cols>
  <sheetData>
    <row r="1" spans="1:52" ht="15.75">
      <c r="A1" s="545" t="s">
        <v>297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</row>
    <row r="2" spans="1:52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</row>
    <row r="3" spans="1:52" s="390" customFormat="1" ht="23.25" customHeight="1">
      <c r="A3" s="556" t="s">
        <v>9</v>
      </c>
      <c r="B3" s="556" t="s">
        <v>267</v>
      </c>
      <c r="C3" s="556" t="s">
        <v>298</v>
      </c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6"/>
      <c r="AU3" s="556"/>
      <c r="AV3" s="556"/>
      <c r="AW3" s="556"/>
      <c r="AX3" s="556"/>
    </row>
    <row r="4" spans="1:52" s="390" customFormat="1" ht="25.5" customHeight="1">
      <c r="A4" s="556"/>
      <c r="B4" s="556"/>
      <c r="C4" s="550" t="s">
        <v>299</v>
      </c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 t="s">
        <v>300</v>
      </c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 t="s">
        <v>301</v>
      </c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550"/>
      <c r="AW4" s="550"/>
      <c r="AX4" s="550"/>
    </row>
    <row r="5" spans="1:52" s="390" customFormat="1" ht="18.75" customHeight="1">
      <c r="A5" s="556"/>
      <c r="B5" s="556"/>
      <c r="C5" s="550" t="s">
        <v>274</v>
      </c>
      <c r="D5" s="550" t="s">
        <v>304</v>
      </c>
      <c r="E5" s="550" t="s">
        <v>276</v>
      </c>
      <c r="F5" s="550" t="s">
        <v>303</v>
      </c>
      <c r="G5" s="550" t="s">
        <v>277</v>
      </c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 t="s">
        <v>274</v>
      </c>
      <c r="T5" s="550" t="s">
        <v>304</v>
      </c>
      <c r="U5" s="550" t="s">
        <v>276</v>
      </c>
      <c r="V5" s="550" t="s">
        <v>303</v>
      </c>
      <c r="W5" s="550" t="s">
        <v>277</v>
      </c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 t="s">
        <v>274</v>
      </c>
      <c r="AJ5" s="550" t="s">
        <v>304</v>
      </c>
      <c r="AK5" s="550" t="s">
        <v>276</v>
      </c>
      <c r="AL5" s="550" t="s">
        <v>303</v>
      </c>
      <c r="AM5" s="550" t="s">
        <v>277</v>
      </c>
      <c r="AN5" s="550"/>
      <c r="AO5" s="550"/>
      <c r="AP5" s="550"/>
      <c r="AQ5" s="550"/>
      <c r="AR5" s="550"/>
      <c r="AS5" s="550"/>
      <c r="AT5" s="550"/>
      <c r="AU5" s="550"/>
      <c r="AV5" s="550"/>
      <c r="AW5" s="550"/>
      <c r="AX5" s="550"/>
    </row>
    <row r="6" spans="1:52" s="390" customFormat="1" ht="18.75" customHeight="1">
      <c r="A6" s="556"/>
      <c r="B6" s="556"/>
      <c r="C6" s="550"/>
      <c r="D6" s="550"/>
      <c r="E6" s="550"/>
      <c r="F6" s="550"/>
      <c r="G6" s="433" t="s">
        <v>38</v>
      </c>
      <c r="H6" s="433" t="s">
        <v>41</v>
      </c>
      <c r="I6" s="433" t="s">
        <v>40</v>
      </c>
      <c r="J6" s="433" t="s">
        <v>43</v>
      </c>
      <c r="K6" s="433" t="s">
        <v>45</v>
      </c>
      <c r="L6" s="433" t="s">
        <v>47</v>
      </c>
      <c r="M6" s="433" t="s">
        <v>49</v>
      </c>
      <c r="N6" s="433" t="s">
        <v>50</v>
      </c>
      <c r="O6" s="433" t="s">
        <v>51</v>
      </c>
      <c r="P6" s="433" t="s">
        <v>52</v>
      </c>
      <c r="Q6" s="433" t="s">
        <v>53</v>
      </c>
      <c r="R6" s="433" t="s">
        <v>54</v>
      </c>
      <c r="S6" s="550"/>
      <c r="T6" s="550"/>
      <c r="U6" s="550"/>
      <c r="V6" s="550"/>
      <c r="W6" s="433" t="s">
        <v>38</v>
      </c>
      <c r="X6" s="433" t="s">
        <v>41</v>
      </c>
      <c r="Y6" s="433" t="s">
        <v>40</v>
      </c>
      <c r="Z6" s="433" t="s">
        <v>43</v>
      </c>
      <c r="AA6" s="433" t="s">
        <v>45</v>
      </c>
      <c r="AB6" s="433" t="s">
        <v>47</v>
      </c>
      <c r="AC6" s="433" t="s">
        <v>49</v>
      </c>
      <c r="AD6" s="433" t="s">
        <v>50</v>
      </c>
      <c r="AE6" s="433" t="s">
        <v>51</v>
      </c>
      <c r="AF6" s="433" t="s">
        <v>52</v>
      </c>
      <c r="AG6" s="433" t="s">
        <v>53</v>
      </c>
      <c r="AH6" s="433" t="s">
        <v>54</v>
      </c>
      <c r="AI6" s="550"/>
      <c r="AJ6" s="550"/>
      <c r="AK6" s="550"/>
      <c r="AL6" s="550"/>
      <c r="AM6" s="433" t="s">
        <v>38</v>
      </c>
      <c r="AN6" s="433" t="s">
        <v>41</v>
      </c>
      <c r="AO6" s="433" t="s">
        <v>40</v>
      </c>
      <c r="AP6" s="433" t="s">
        <v>43</v>
      </c>
      <c r="AQ6" s="433" t="s">
        <v>45</v>
      </c>
      <c r="AR6" s="433" t="s">
        <v>47</v>
      </c>
      <c r="AS6" s="433" t="s">
        <v>49</v>
      </c>
      <c r="AT6" s="433" t="s">
        <v>50</v>
      </c>
      <c r="AU6" s="433" t="s">
        <v>51</v>
      </c>
      <c r="AV6" s="433" t="s">
        <v>52</v>
      </c>
      <c r="AW6" s="433" t="s">
        <v>53</v>
      </c>
      <c r="AX6" s="433" t="s">
        <v>54</v>
      </c>
    </row>
    <row r="7" spans="1:52" s="390" customFormat="1" ht="23.25" customHeight="1">
      <c r="A7" s="456"/>
      <c r="B7" s="456" t="s">
        <v>278</v>
      </c>
      <c r="C7" s="456">
        <v>147521</v>
      </c>
      <c r="D7" s="456">
        <f t="shared" ref="D7:AX7" si="0">D8+D13</f>
        <v>69367</v>
      </c>
      <c r="E7" s="456">
        <f t="shared" si="0"/>
        <v>50664</v>
      </c>
      <c r="F7" s="457">
        <f t="shared" ref="F7:F21" si="1">E7/C7*100</f>
        <v>34.343584981121332</v>
      </c>
      <c r="G7" s="456">
        <f t="shared" si="0"/>
        <v>11275</v>
      </c>
      <c r="H7" s="456">
        <f t="shared" si="0"/>
        <v>8259</v>
      </c>
      <c r="I7" s="456">
        <f t="shared" si="0"/>
        <v>8844</v>
      </c>
      <c r="J7" s="456">
        <f t="shared" si="0"/>
        <v>7780</v>
      </c>
      <c r="K7" s="456">
        <f t="shared" si="0"/>
        <v>6245</v>
      </c>
      <c r="L7" s="456">
        <f t="shared" si="0"/>
        <v>8261</v>
      </c>
      <c r="M7" s="456">
        <f t="shared" si="0"/>
        <v>0</v>
      </c>
      <c r="N7" s="456">
        <f t="shared" si="0"/>
        <v>0</v>
      </c>
      <c r="O7" s="456">
        <f t="shared" si="0"/>
        <v>0</v>
      </c>
      <c r="P7" s="456">
        <f t="shared" si="0"/>
        <v>0</v>
      </c>
      <c r="Q7" s="456">
        <f t="shared" si="0"/>
        <v>0</v>
      </c>
      <c r="R7" s="456">
        <f t="shared" si="0"/>
        <v>0</v>
      </c>
      <c r="S7" s="456">
        <f t="shared" si="0"/>
        <v>20827</v>
      </c>
      <c r="T7" s="456">
        <f t="shared" si="0"/>
        <v>9703</v>
      </c>
      <c r="U7" s="456">
        <f t="shared" si="0"/>
        <v>6588</v>
      </c>
      <c r="V7" s="457">
        <f t="shared" ref="V7:V21" si="2">U7/S7*100</f>
        <v>31.632016132904401</v>
      </c>
      <c r="W7" s="456">
        <f t="shared" si="0"/>
        <v>1871</v>
      </c>
      <c r="X7" s="456">
        <f t="shared" si="0"/>
        <v>1324</v>
      </c>
      <c r="Y7" s="456">
        <f t="shared" si="0"/>
        <v>1079</v>
      </c>
      <c r="Z7" s="456">
        <f t="shared" si="0"/>
        <v>828</v>
      </c>
      <c r="AA7" s="456">
        <f t="shared" si="0"/>
        <v>587</v>
      </c>
      <c r="AB7" s="456">
        <f t="shared" si="0"/>
        <v>899</v>
      </c>
      <c r="AC7" s="456">
        <f t="shared" si="0"/>
        <v>0</v>
      </c>
      <c r="AD7" s="456">
        <f t="shared" si="0"/>
        <v>0</v>
      </c>
      <c r="AE7" s="456">
        <f t="shared" si="0"/>
        <v>0</v>
      </c>
      <c r="AF7" s="456">
        <f t="shared" si="0"/>
        <v>0</v>
      </c>
      <c r="AG7" s="456">
        <f t="shared" si="0"/>
        <v>0</v>
      </c>
      <c r="AH7" s="456">
        <f t="shared" si="0"/>
        <v>0</v>
      </c>
      <c r="AI7" s="456">
        <v>107712</v>
      </c>
      <c r="AJ7" s="456">
        <f t="shared" si="0"/>
        <v>46962</v>
      </c>
      <c r="AK7" s="456">
        <f t="shared" si="0"/>
        <v>36463</v>
      </c>
      <c r="AL7" s="457">
        <f t="shared" ref="AL7:AL21" si="3">AK7/AI7*100</f>
        <v>33.852309863339272</v>
      </c>
      <c r="AM7" s="456">
        <f t="shared" si="0"/>
        <v>7859</v>
      </c>
      <c r="AN7" s="456">
        <f t="shared" si="0"/>
        <v>6095</v>
      </c>
      <c r="AO7" s="456">
        <f t="shared" si="0"/>
        <v>6485</v>
      </c>
      <c r="AP7" s="456">
        <f t="shared" si="0"/>
        <v>5610</v>
      </c>
      <c r="AQ7" s="456">
        <f t="shared" si="0"/>
        <v>4560</v>
      </c>
      <c r="AR7" s="456">
        <f t="shared" si="0"/>
        <v>5854</v>
      </c>
      <c r="AS7" s="456">
        <f t="shared" si="0"/>
        <v>0</v>
      </c>
      <c r="AT7" s="456">
        <f t="shared" si="0"/>
        <v>0</v>
      </c>
      <c r="AU7" s="456">
        <f t="shared" si="0"/>
        <v>0</v>
      </c>
      <c r="AV7" s="456">
        <f t="shared" si="0"/>
        <v>0</v>
      </c>
      <c r="AW7" s="456">
        <f t="shared" si="0"/>
        <v>0</v>
      </c>
      <c r="AX7" s="456">
        <f t="shared" si="0"/>
        <v>0</v>
      </c>
      <c r="AY7" s="453"/>
      <c r="AZ7" s="454"/>
    </row>
    <row r="8" spans="1:52" s="390" customFormat="1" ht="23.25" customHeight="1">
      <c r="A8" s="456" t="s">
        <v>12</v>
      </c>
      <c r="B8" s="461" t="s">
        <v>279</v>
      </c>
      <c r="C8" s="456">
        <f>SUM(C9:C12)</f>
        <v>16171</v>
      </c>
      <c r="D8" s="456">
        <f t="shared" ref="D8:R8" si="4">SUM(D9:D12)</f>
        <v>6637</v>
      </c>
      <c r="E8" s="456">
        <f t="shared" si="4"/>
        <v>4320</v>
      </c>
      <c r="F8" s="457">
        <f t="shared" si="1"/>
        <v>26.714488899882504</v>
      </c>
      <c r="G8" s="456">
        <f t="shared" si="4"/>
        <v>1123</v>
      </c>
      <c r="H8" s="456">
        <f t="shared" si="4"/>
        <v>673</v>
      </c>
      <c r="I8" s="456">
        <f t="shared" si="4"/>
        <v>630</v>
      </c>
      <c r="J8" s="456">
        <f t="shared" si="4"/>
        <v>389</v>
      </c>
      <c r="K8" s="456">
        <f t="shared" si="4"/>
        <v>553</v>
      </c>
      <c r="L8" s="456">
        <f t="shared" si="4"/>
        <v>952</v>
      </c>
      <c r="M8" s="456">
        <f t="shared" si="4"/>
        <v>0</v>
      </c>
      <c r="N8" s="456">
        <f t="shared" si="4"/>
        <v>0</v>
      </c>
      <c r="O8" s="456">
        <f t="shared" si="4"/>
        <v>0</v>
      </c>
      <c r="P8" s="456">
        <f t="shared" si="4"/>
        <v>0</v>
      </c>
      <c r="Q8" s="456">
        <f t="shared" si="4"/>
        <v>0</v>
      </c>
      <c r="R8" s="456">
        <f t="shared" si="4"/>
        <v>0</v>
      </c>
      <c r="S8" s="456">
        <f>SUM(S9:S12)</f>
        <v>6827</v>
      </c>
      <c r="T8" s="456">
        <f>SUM(T9:T12)</f>
        <v>2902</v>
      </c>
      <c r="U8" s="456">
        <f>SUM(U9:U12)</f>
        <v>1777</v>
      </c>
      <c r="V8" s="457">
        <f t="shared" si="2"/>
        <v>26.029002490112784</v>
      </c>
      <c r="W8" s="456">
        <f>SUM(W9:W12)</f>
        <v>462</v>
      </c>
      <c r="X8" s="456">
        <f t="shared" ref="X8:AH8" si="5">SUM(X9:X12)</f>
        <v>310</v>
      </c>
      <c r="Y8" s="456">
        <f t="shared" si="5"/>
        <v>269</v>
      </c>
      <c r="Z8" s="456">
        <f t="shared" si="5"/>
        <v>169</v>
      </c>
      <c r="AA8" s="456">
        <f t="shared" si="5"/>
        <v>210</v>
      </c>
      <c r="AB8" s="456">
        <f t="shared" si="5"/>
        <v>357</v>
      </c>
      <c r="AC8" s="456">
        <f t="shared" si="5"/>
        <v>0</v>
      </c>
      <c r="AD8" s="456">
        <f t="shared" si="5"/>
        <v>0</v>
      </c>
      <c r="AE8" s="456">
        <f t="shared" si="5"/>
        <v>0</v>
      </c>
      <c r="AF8" s="456">
        <f t="shared" si="5"/>
        <v>0</v>
      </c>
      <c r="AG8" s="456">
        <f t="shared" si="5"/>
        <v>0</v>
      </c>
      <c r="AH8" s="456">
        <f t="shared" si="5"/>
        <v>0</v>
      </c>
      <c r="AI8" s="456">
        <f>SUM(AI9:AI12)</f>
        <v>9212</v>
      </c>
      <c r="AJ8" s="456">
        <f>SUM(AJ9:AJ12)</f>
        <v>3800</v>
      </c>
      <c r="AK8" s="456">
        <f>SUM(AK9:AK12)</f>
        <v>2539</v>
      </c>
      <c r="AL8" s="457">
        <f t="shared" si="3"/>
        <v>27.561875814155449</v>
      </c>
      <c r="AM8" s="463">
        <f>SUM(AM9:AM12)</f>
        <v>661</v>
      </c>
      <c r="AN8" s="463">
        <f t="shared" ref="AN8:AX8" si="6">SUM(AN9:AN12)</f>
        <v>368</v>
      </c>
      <c r="AO8" s="463">
        <f t="shared" si="6"/>
        <v>360</v>
      </c>
      <c r="AP8" s="463">
        <f t="shared" si="6"/>
        <v>219</v>
      </c>
      <c r="AQ8" s="463">
        <f t="shared" si="6"/>
        <v>340</v>
      </c>
      <c r="AR8" s="463">
        <f t="shared" si="6"/>
        <v>591</v>
      </c>
      <c r="AS8" s="463">
        <f t="shared" si="6"/>
        <v>0</v>
      </c>
      <c r="AT8" s="463">
        <f t="shared" si="6"/>
        <v>0</v>
      </c>
      <c r="AU8" s="463">
        <f t="shared" si="6"/>
        <v>0</v>
      </c>
      <c r="AV8" s="463">
        <f t="shared" si="6"/>
        <v>0</v>
      </c>
      <c r="AW8" s="463">
        <f t="shared" si="6"/>
        <v>0</v>
      </c>
      <c r="AX8" s="463">
        <f t="shared" si="6"/>
        <v>0</v>
      </c>
      <c r="AZ8" s="455"/>
    </row>
    <row r="9" spans="1:52" s="392" customFormat="1" ht="23.25" customHeight="1">
      <c r="A9" s="441">
        <v>1</v>
      </c>
      <c r="B9" s="442" t="s">
        <v>280</v>
      </c>
      <c r="C9" s="441">
        <v>15000</v>
      </c>
      <c r="D9" s="443">
        <v>6427</v>
      </c>
      <c r="E9" s="441">
        <f>SUM(G9:R9)</f>
        <v>4150</v>
      </c>
      <c r="F9" s="451">
        <f t="shared" si="1"/>
        <v>27.666666666666668</v>
      </c>
      <c r="G9" s="443">
        <v>1095</v>
      </c>
      <c r="H9" s="443">
        <v>644</v>
      </c>
      <c r="I9" s="443">
        <v>598</v>
      </c>
      <c r="J9" s="443">
        <v>367</v>
      </c>
      <c r="K9" s="443">
        <v>526</v>
      </c>
      <c r="L9" s="443">
        <v>920</v>
      </c>
      <c r="M9" s="443"/>
      <c r="N9" s="443"/>
      <c r="O9" s="443"/>
      <c r="P9" s="443"/>
      <c r="Q9" s="443"/>
      <c r="R9" s="443"/>
      <c r="S9" s="441">
        <v>6500</v>
      </c>
      <c r="T9" s="443">
        <v>2801</v>
      </c>
      <c r="U9" s="441">
        <f>SUM(W9:AH9)</f>
        <v>1737</v>
      </c>
      <c r="V9" s="451">
        <f t="shared" si="2"/>
        <v>26.723076923076921</v>
      </c>
      <c r="W9" s="443">
        <v>451</v>
      </c>
      <c r="X9" s="443">
        <v>299</v>
      </c>
      <c r="Y9" s="443">
        <v>260</v>
      </c>
      <c r="Z9" s="443">
        <v>164</v>
      </c>
      <c r="AA9" s="443">
        <v>209</v>
      </c>
      <c r="AB9" s="443">
        <v>354</v>
      </c>
      <c r="AC9" s="443"/>
      <c r="AD9" s="443"/>
      <c r="AE9" s="443"/>
      <c r="AF9" s="443"/>
      <c r="AG9" s="443"/>
      <c r="AH9" s="443"/>
      <c r="AI9" s="441">
        <v>8500</v>
      </c>
      <c r="AJ9" s="443">
        <v>3626</v>
      </c>
      <c r="AK9" s="441">
        <f>SUM(AM9:AX9)</f>
        <v>2413</v>
      </c>
      <c r="AL9" s="451">
        <f t="shared" si="3"/>
        <v>28.388235294117649</v>
      </c>
      <c r="AM9" s="443">
        <v>644</v>
      </c>
      <c r="AN9" s="443">
        <v>345</v>
      </c>
      <c r="AO9" s="443">
        <v>338</v>
      </c>
      <c r="AP9" s="443">
        <v>203</v>
      </c>
      <c r="AQ9" s="443">
        <v>317</v>
      </c>
      <c r="AR9" s="443">
        <v>566</v>
      </c>
      <c r="AS9" s="443"/>
      <c r="AT9" s="443"/>
      <c r="AU9" s="443"/>
      <c r="AV9" s="443"/>
      <c r="AW9" s="443"/>
      <c r="AX9" s="443"/>
      <c r="AY9" s="435"/>
      <c r="AZ9" s="436"/>
    </row>
    <row r="10" spans="1:52" s="392" customFormat="1" ht="23.25" customHeight="1">
      <c r="A10" s="441">
        <v>2</v>
      </c>
      <c r="B10" s="442" t="s">
        <v>281</v>
      </c>
      <c r="C10" s="441">
        <v>600</v>
      </c>
      <c r="D10" s="443">
        <v>177</v>
      </c>
      <c r="E10" s="441">
        <f>SUM(G10:R10)</f>
        <v>55</v>
      </c>
      <c r="F10" s="451">
        <f t="shared" si="1"/>
        <v>9.1666666666666661</v>
      </c>
      <c r="G10" s="443">
        <v>13</v>
      </c>
      <c r="H10" s="443">
        <v>12</v>
      </c>
      <c r="I10" s="443">
        <v>14</v>
      </c>
      <c r="J10" s="443">
        <v>6</v>
      </c>
      <c r="K10" s="443">
        <v>3</v>
      </c>
      <c r="L10" s="443">
        <v>7</v>
      </c>
      <c r="M10" s="443"/>
      <c r="N10" s="443"/>
      <c r="O10" s="443"/>
      <c r="P10" s="443"/>
      <c r="Q10" s="443"/>
      <c r="R10" s="443"/>
      <c r="S10" s="441">
        <v>320</v>
      </c>
      <c r="T10" s="443">
        <v>101</v>
      </c>
      <c r="U10" s="441">
        <f>SUM(W10:AH10)</f>
        <v>40</v>
      </c>
      <c r="V10" s="451">
        <f t="shared" si="2"/>
        <v>12.5</v>
      </c>
      <c r="W10" s="443">
        <v>11</v>
      </c>
      <c r="X10" s="443">
        <v>11</v>
      </c>
      <c r="Y10" s="443">
        <v>9</v>
      </c>
      <c r="Z10" s="443">
        <v>5</v>
      </c>
      <c r="AA10" s="443">
        <v>1</v>
      </c>
      <c r="AB10" s="443">
        <v>3</v>
      </c>
      <c r="AC10" s="443"/>
      <c r="AD10" s="443"/>
      <c r="AE10" s="443"/>
      <c r="AF10" s="443"/>
      <c r="AG10" s="443"/>
      <c r="AH10" s="443"/>
      <c r="AI10" s="441">
        <v>250</v>
      </c>
      <c r="AJ10" s="443">
        <v>141</v>
      </c>
      <c r="AK10" s="441">
        <f>SUM(AM10:AX10)</f>
        <v>19</v>
      </c>
      <c r="AL10" s="451">
        <f t="shared" si="3"/>
        <v>7.6</v>
      </c>
      <c r="AM10" s="443">
        <v>2</v>
      </c>
      <c r="AN10" s="443">
        <v>6</v>
      </c>
      <c r="AO10" s="443">
        <v>5</v>
      </c>
      <c r="AP10" s="443">
        <v>1</v>
      </c>
      <c r="AQ10" s="443">
        <v>2</v>
      </c>
      <c r="AR10" s="443">
        <v>3</v>
      </c>
      <c r="AS10" s="443"/>
      <c r="AT10" s="443"/>
      <c r="AU10" s="443"/>
      <c r="AV10" s="443"/>
      <c r="AW10" s="443"/>
      <c r="AX10" s="443"/>
    </row>
    <row r="11" spans="1:52" s="392" customFormat="1" ht="23.25" customHeight="1">
      <c r="A11" s="441">
        <v>3</v>
      </c>
      <c r="B11" s="442" t="s">
        <v>282</v>
      </c>
      <c r="C11" s="441">
        <v>21</v>
      </c>
      <c r="D11" s="443">
        <v>6</v>
      </c>
      <c r="E11" s="441">
        <f>SUM(G11:R11)</f>
        <v>3</v>
      </c>
      <c r="F11" s="451">
        <f t="shared" si="1"/>
        <v>14.285714285714285</v>
      </c>
      <c r="G11" s="443">
        <v>1</v>
      </c>
      <c r="H11" s="443">
        <v>0</v>
      </c>
      <c r="I11" s="443">
        <v>1</v>
      </c>
      <c r="J11" s="443">
        <v>0</v>
      </c>
      <c r="K11" s="443">
        <v>0</v>
      </c>
      <c r="L11" s="443">
        <v>1</v>
      </c>
      <c r="M11" s="443"/>
      <c r="N11" s="443"/>
      <c r="O11" s="443"/>
      <c r="P11" s="443"/>
      <c r="Q11" s="443"/>
      <c r="R11" s="443"/>
      <c r="S11" s="441">
        <v>7</v>
      </c>
      <c r="T11" s="443">
        <v>0</v>
      </c>
      <c r="U11" s="441">
        <f>SUM(W11:AH11)</f>
        <v>0</v>
      </c>
      <c r="V11" s="451">
        <f t="shared" si="2"/>
        <v>0</v>
      </c>
      <c r="W11" s="443">
        <v>0</v>
      </c>
      <c r="X11" s="443">
        <v>0</v>
      </c>
      <c r="Y11" s="443">
        <v>0</v>
      </c>
      <c r="Z11" s="443">
        <v>0</v>
      </c>
      <c r="AA11" s="443">
        <v>0</v>
      </c>
      <c r="AB11" s="443">
        <v>0</v>
      </c>
      <c r="AC11" s="443"/>
      <c r="AD11" s="443"/>
      <c r="AE11" s="443"/>
      <c r="AF11" s="443"/>
      <c r="AG11" s="443"/>
      <c r="AH11" s="443"/>
      <c r="AI11" s="441">
        <v>12</v>
      </c>
      <c r="AJ11" s="443">
        <v>6</v>
      </c>
      <c r="AK11" s="441">
        <f>SUM(AM11:AX11)</f>
        <v>3</v>
      </c>
      <c r="AL11" s="451">
        <f t="shared" si="3"/>
        <v>25</v>
      </c>
      <c r="AM11" s="443">
        <v>1</v>
      </c>
      <c r="AN11" s="443">
        <v>0</v>
      </c>
      <c r="AO11" s="443">
        <v>1</v>
      </c>
      <c r="AP11" s="443">
        <v>0</v>
      </c>
      <c r="AQ11" s="443">
        <v>0</v>
      </c>
      <c r="AR11" s="443">
        <v>1</v>
      </c>
      <c r="AS11" s="443"/>
      <c r="AT11" s="443"/>
      <c r="AU11" s="443"/>
      <c r="AV11" s="443"/>
      <c r="AW11" s="443"/>
      <c r="AX11" s="443"/>
      <c r="AY11" s="435"/>
    </row>
    <row r="12" spans="1:52" s="392" customFormat="1" ht="23.25" customHeight="1">
      <c r="A12" s="441">
        <v>4</v>
      </c>
      <c r="B12" s="426" t="s">
        <v>308</v>
      </c>
      <c r="C12" s="441">
        <v>550</v>
      </c>
      <c r="D12" s="443">
        <v>27</v>
      </c>
      <c r="E12" s="441">
        <f>SUM(G12:R12)</f>
        <v>112</v>
      </c>
      <c r="F12" s="451">
        <f t="shared" si="1"/>
        <v>20.363636363636363</v>
      </c>
      <c r="G12" s="443">
        <v>14</v>
      </c>
      <c r="H12" s="443">
        <v>17</v>
      </c>
      <c r="I12" s="443">
        <v>17</v>
      </c>
      <c r="J12" s="443">
        <v>16</v>
      </c>
      <c r="K12" s="443">
        <v>24</v>
      </c>
      <c r="L12" s="443">
        <v>24</v>
      </c>
      <c r="M12" s="443"/>
      <c r="N12" s="443"/>
      <c r="O12" s="443"/>
      <c r="P12" s="443"/>
      <c r="Q12" s="443"/>
      <c r="R12" s="443"/>
      <c r="S12" s="441">
        <v>0</v>
      </c>
      <c r="T12" s="443"/>
      <c r="U12" s="441">
        <f>SUM(W12:AH12)</f>
        <v>0</v>
      </c>
      <c r="V12" s="451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1">
        <v>450</v>
      </c>
      <c r="AJ12" s="443">
        <v>27</v>
      </c>
      <c r="AK12" s="441">
        <f>SUM(AM12:AX12)</f>
        <v>104</v>
      </c>
      <c r="AL12" s="451">
        <f t="shared" si="3"/>
        <v>23.111111111111111</v>
      </c>
      <c r="AM12" s="443">
        <v>14</v>
      </c>
      <c r="AN12" s="443">
        <v>17</v>
      </c>
      <c r="AO12" s="443">
        <v>16</v>
      </c>
      <c r="AP12" s="443">
        <v>15</v>
      </c>
      <c r="AQ12" s="443">
        <v>21</v>
      </c>
      <c r="AR12" s="443">
        <v>21</v>
      </c>
      <c r="AS12" s="443"/>
      <c r="AT12" s="443"/>
      <c r="AU12" s="443"/>
      <c r="AV12" s="443"/>
      <c r="AW12" s="443"/>
      <c r="AX12" s="443"/>
      <c r="AY12" s="435"/>
    </row>
    <row r="13" spans="1:52" s="390" customFormat="1" ht="23.25" customHeight="1">
      <c r="A13" s="456" t="s">
        <v>101</v>
      </c>
      <c r="B13" s="461" t="s">
        <v>283</v>
      </c>
      <c r="C13" s="456">
        <f>SUM(C14:C21)</f>
        <v>131900</v>
      </c>
      <c r="D13" s="456">
        <f>SUM(D14:D21)</f>
        <v>62730</v>
      </c>
      <c r="E13" s="456">
        <f>SUM(E14:E21)</f>
        <v>46344</v>
      </c>
      <c r="F13" s="457">
        <f t="shared" si="1"/>
        <v>35.135708870356332</v>
      </c>
      <c r="G13" s="456">
        <f t="shared" ref="G13:R13" si="7">SUM(G14:G21)</f>
        <v>10152</v>
      </c>
      <c r="H13" s="456">
        <f t="shared" si="7"/>
        <v>7586</v>
      </c>
      <c r="I13" s="456">
        <f t="shared" si="7"/>
        <v>8214</v>
      </c>
      <c r="J13" s="456">
        <f t="shared" si="7"/>
        <v>7391</v>
      </c>
      <c r="K13" s="456">
        <f t="shared" si="7"/>
        <v>5692</v>
      </c>
      <c r="L13" s="456">
        <f t="shared" si="7"/>
        <v>7309</v>
      </c>
      <c r="M13" s="456">
        <f t="shared" si="7"/>
        <v>0</v>
      </c>
      <c r="N13" s="456">
        <f t="shared" si="7"/>
        <v>0</v>
      </c>
      <c r="O13" s="456">
        <f t="shared" si="7"/>
        <v>0</v>
      </c>
      <c r="P13" s="456">
        <f t="shared" si="7"/>
        <v>0</v>
      </c>
      <c r="Q13" s="456">
        <f t="shared" si="7"/>
        <v>0</v>
      </c>
      <c r="R13" s="456">
        <f t="shared" si="7"/>
        <v>0</v>
      </c>
      <c r="S13" s="456">
        <f>SUM(S14:S21)</f>
        <v>14000</v>
      </c>
      <c r="T13" s="456">
        <f>SUM(T14:T21)</f>
        <v>6801</v>
      </c>
      <c r="U13" s="456">
        <f>SUM(U14:U21)</f>
        <v>4811</v>
      </c>
      <c r="V13" s="457">
        <f t="shared" si="2"/>
        <v>34.364285714285714</v>
      </c>
      <c r="W13" s="456">
        <f t="shared" ref="W13:AX13" si="8">SUM(W14:W21)</f>
        <v>1409</v>
      </c>
      <c r="X13" s="456">
        <f t="shared" si="8"/>
        <v>1014</v>
      </c>
      <c r="Y13" s="456">
        <f t="shared" si="8"/>
        <v>810</v>
      </c>
      <c r="Z13" s="456">
        <f t="shared" si="8"/>
        <v>659</v>
      </c>
      <c r="AA13" s="456">
        <f t="shared" si="8"/>
        <v>377</v>
      </c>
      <c r="AB13" s="456">
        <f t="shared" si="8"/>
        <v>542</v>
      </c>
      <c r="AC13" s="456">
        <f t="shared" si="8"/>
        <v>0</v>
      </c>
      <c r="AD13" s="456">
        <f t="shared" si="8"/>
        <v>0</v>
      </c>
      <c r="AE13" s="456">
        <f t="shared" si="8"/>
        <v>0</v>
      </c>
      <c r="AF13" s="456">
        <f t="shared" si="8"/>
        <v>0</v>
      </c>
      <c r="AG13" s="456">
        <f t="shared" si="8"/>
        <v>0</v>
      </c>
      <c r="AH13" s="456">
        <f t="shared" si="8"/>
        <v>0</v>
      </c>
      <c r="AI13" s="456">
        <f t="shared" si="8"/>
        <v>98950</v>
      </c>
      <c r="AJ13" s="456">
        <f t="shared" si="8"/>
        <v>43162</v>
      </c>
      <c r="AK13" s="456">
        <f t="shared" si="8"/>
        <v>33924</v>
      </c>
      <c r="AL13" s="457">
        <f t="shared" si="3"/>
        <v>34.28398180899444</v>
      </c>
      <c r="AM13" s="456">
        <f t="shared" si="8"/>
        <v>7198</v>
      </c>
      <c r="AN13" s="456">
        <f t="shared" si="8"/>
        <v>5727</v>
      </c>
      <c r="AO13" s="456">
        <f t="shared" si="8"/>
        <v>6125</v>
      </c>
      <c r="AP13" s="456">
        <f t="shared" si="8"/>
        <v>5391</v>
      </c>
      <c r="AQ13" s="456">
        <f t="shared" si="8"/>
        <v>4220</v>
      </c>
      <c r="AR13" s="456">
        <f t="shared" si="8"/>
        <v>5263</v>
      </c>
      <c r="AS13" s="456">
        <f t="shared" si="8"/>
        <v>0</v>
      </c>
      <c r="AT13" s="456">
        <f t="shared" si="8"/>
        <v>0</v>
      </c>
      <c r="AU13" s="456">
        <f t="shared" si="8"/>
        <v>0</v>
      </c>
      <c r="AV13" s="456">
        <f t="shared" si="8"/>
        <v>0</v>
      </c>
      <c r="AW13" s="456">
        <f t="shared" si="8"/>
        <v>0</v>
      </c>
      <c r="AX13" s="456">
        <f t="shared" si="8"/>
        <v>0</v>
      </c>
    </row>
    <row r="14" spans="1:52" s="392" customFormat="1" ht="23.25" customHeight="1">
      <c r="A14" s="441">
        <v>1</v>
      </c>
      <c r="B14" s="442" t="s">
        <v>284</v>
      </c>
      <c r="C14" s="441">
        <v>12600</v>
      </c>
      <c r="D14" s="443">
        <v>5806</v>
      </c>
      <c r="E14" s="441">
        <f>SUM(G14:R14)</f>
        <v>4731</v>
      </c>
      <c r="F14" s="451">
        <f t="shared" si="1"/>
        <v>37.547619047619044</v>
      </c>
      <c r="G14" s="443">
        <v>860</v>
      </c>
      <c r="H14" s="443">
        <v>843</v>
      </c>
      <c r="I14" s="443">
        <v>634</v>
      </c>
      <c r="J14" s="443">
        <v>691</v>
      </c>
      <c r="K14" s="443">
        <v>914</v>
      </c>
      <c r="L14" s="443">
        <v>789</v>
      </c>
      <c r="M14" s="443"/>
      <c r="N14" s="443"/>
      <c r="O14" s="443"/>
      <c r="P14" s="443"/>
      <c r="Q14" s="443"/>
      <c r="R14" s="443"/>
      <c r="S14" s="441">
        <v>2000</v>
      </c>
      <c r="T14" s="443">
        <v>703</v>
      </c>
      <c r="U14" s="441">
        <f>SUM(W14:AH14)</f>
        <v>645</v>
      </c>
      <c r="V14" s="451">
        <f t="shared" si="2"/>
        <v>32.25</v>
      </c>
      <c r="W14" s="443">
        <v>181</v>
      </c>
      <c r="X14" s="443">
        <v>121</v>
      </c>
      <c r="Y14" s="443">
        <v>112</v>
      </c>
      <c r="Z14" s="443">
        <v>91</v>
      </c>
      <c r="AA14" s="443">
        <v>58</v>
      </c>
      <c r="AB14" s="443">
        <v>82</v>
      </c>
      <c r="AC14" s="443"/>
      <c r="AD14" s="443"/>
      <c r="AE14" s="443"/>
      <c r="AF14" s="443"/>
      <c r="AG14" s="443"/>
      <c r="AH14" s="443"/>
      <c r="AI14" s="441">
        <v>10650</v>
      </c>
      <c r="AJ14" s="443">
        <v>4964</v>
      </c>
      <c r="AK14" s="441">
        <f>SUM(AM14:AX14)</f>
        <v>4062</v>
      </c>
      <c r="AL14" s="451">
        <f t="shared" si="3"/>
        <v>38.140845070422536</v>
      </c>
      <c r="AM14" s="443">
        <v>674</v>
      </c>
      <c r="AN14" s="443">
        <v>723</v>
      </c>
      <c r="AO14" s="443">
        <v>528</v>
      </c>
      <c r="AP14" s="443">
        <v>587</v>
      </c>
      <c r="AQ14" s="443">
        <v>843</v>
      </c>
      <c r="AR14" s="443">
        <v>707</v>
      </c>
      <c r="AS14" s="443"/>
      <c r="AT14" s="443"/>
      <c r="AU14" s="443"/>
      <c r="AV14" s="443"/>
      <c r="AW14" s="443"/>
      <c r="AX14" s="443"/>
    </row>
    <row r="15" spans="1:52" s="392" customFormat="1" ht="23.25" customHeight="1">
      <c r="A15" s="441">
        <v>2</v>
      </c>
      <c r="B15" s="442" t="s">
        <v>285</v>
      </c>
      <c r="C15" s="441">
        <v>20000</v>
      </c>
      <c r="D15" s="443">
        <v>10152</v>
      </c>
      <c r="E15" s="441">
        <f t="shared" ref="E15:E21" si="9">SUM(G15:R15)</f>
        <v>7863</v>
      </c>
      <c r="F15" s="451">
        <f t="shared" si="1"/>
        <v>39.314999999999998</v>
      </c>
      <c r="G15" s="443">
        <v>1284</v>
      </c>
      <c r="H15" s="443">
        <v>1611</v>
      </c>
      <c r="I15" s="443">
        <v>1458</v>
      </c>
      <c r="J15" s="443">
        <v>925</v>
      </c>
      <c r="K15" s="443">
        <v>1235</v>
      </c>
      <c r="L15" s="443">
        <v>1350</v>
      </c>
      <c r="M15" s="443"/>
      <c r="N15" s="443"/>
      <c r="O15" s="443"/>
      <c r="P15" s="443"/>
      <c r="Q15" s="443"/>
      <c r="R15" s="443"/>
      <c r="S15" s="441">
        <v>2000</v>
      </c>
      <c r="T15" s="443">
        <v>1162</v>
      </c>
      <c r="U15" s="441">
        <f t="shared" ref="U15:U21" si="10">SUM(W15:AH15)</f>
        <v>685</v>
      </c>
      <c r="V15" s="451">
        <f t="shared" si="2"/>
        <v>34.25</v>
      </c>
      <c r="W15" s="443">
        <v>119</v>
      </c>
      <c r="X15" s="443">
        <v>170</v>
      </c>
      <c r="Y15" s="443">
        <v>135</v>
      </c>
      <c r="Z15" s="443">
        <v>59</v>
      </c>
      <c r="AA15" s="443">
        <v>82</v>
      </c>
      <c r="AB15" s="443">
        <v>120</v>
      </c>
      <c r="AC15" s="443"/>
      <c r="AD15" s="443"/>
      <c r="AE15" s="443"/>
      <c r="AF15" s="443"/>
      <c r="AG15" s="443"/>
      <c r="AH15" s="443"/>
      <c r="AI15" s="441">
        <v>16000</v>
      </c>
      <c r="AJ15" s="443">
        <v>8159</v>
      </c>
      <c r="AK15" s="441">
        <f t="shared" ref="AK15:AK21" si="11">SUM(AM15:AX15)</f>
        <v>6789</v>
      </c>
      <c r="AL15" s="451">
        <f t="shared" si="3"/>
        <v>42.431249999999999</v>
      </c>
      <c r="AM15" s="443">
        <v>1076</v>
      </c>
      <c r="AN15" s="443">
        <v>1380</v>
      </c>
      <c r="AO15" s="443">
        <v>1265</v>
      </c>
      <c r="AP15" s="443">
        <v>828</v>
      </c>
      <c r="AQ15" s="443">
        <v>1090</v>
      </c>
      <c r="AR15" s="443">
        <v>1150</v>
      </c>
      <c r="AS15" s="443"/>
      <c r="AT15" s="443"/>
      <c r="AU15" s="443"/>
      <c r="AV15" s="443"/>
      <c r="AW15" s="443"/>
      <c r="AX15" s="443"/>
    </row>
    <row r="16" spans="1:52" s="392" customFormat="1" ht="23.25" customHeight="1">
      <c r="A16" s="441">
        <v>3</v>
      </c>
      <c r="B16" s="442" t="s">
        <v>286</v>
      </c>
      <c r="C16" s="441">
        <v>26000</v>
      </c>
      <c r="D16" s="443">
        <v>10970</v>
      </c>
      <c r="E16" s="441">
        <f t="shared" si="9"/>
        <v>8580</v>
      </c>
      <c r="F16" s="451">
        <f t="shared" si="1"/>
        <v>33</v>
      </c>
      <c r="G16" s="443">
        <v>1923</v>
      </c>
      <c r="H16" s="443">
        <v>1346</v>
      </c>
      <c r="I16" s="443">
        <v>1582</v>
      </c>
      <c r="J16" s="443">
        <v>1386</v>
      </c>
      <c r="K16" s="443">
        <v>957</v>
      </c>
      <c r="L16" s="443">
        <v>1386</v>
      </c>
      <c r="M16" s="443"/>
      <c r="N16" s="443"/>
      <c r="O16" s="443"/>
      <c r="P16" s="443"/>
      <c r="Q16" s="443"/>
      <c r="R16" s="443"/>
      <c r="S16" s="441">
        <v>2000</v>
      </c>
      <c r="T16" s="443">
        <v>1107</v>
      </c>
      <c r="U16" s="441">
        <f t="shared" si="10"/>
        <v>824</v>
      </c>
      <c r="V16" s="451">
        <f t="shared" si="2"/>
        <v>41.199999999999996</v>
      </c>
      <c r="W16" s="443">
        <v>266</v>
      </c>
      <c r="X16" s="443">
        <v>171</v>
      </c>
      <c r="Y16" s="443">
        <v>130</v>
      </c>
      <c r="Z16" s="443">
        <v>112</v>
      </c>
      <c r="AA16" s="443">
        <v>64</v>
      </c>
      <c r="AB16" s="443">
        <v>81</v>
      </c>
      <c r="AC16" s="443"/>
      <c r="AD16" s="443"/>
      <c r="AE16" s="443"/>
      <c r="AF16" s="443"/>
      <c r="AG16" s="443"/>
      <c r="AH16" s="443"/>
      <c r="AI16" s="441">
        <v>17000</v>
      </c>
      <c r="AJ16" s="443">
        <v>5363</v>
      </c>
      <c r="AK16" s="441">
        <f t="shared" si="11"/>
        <v>5004</v>
      </c>
      <c r="AL16" s="451">
        <f t="shared" si="3"/>
        <v>29.435294117647061</v>
      </c>
      <c r="AM16" s="443">
        <v>1180</v>
      </c>
      <c r="AN16" s="443">
        <v>825</v>
      </c>
      <c r="AO16" s="443">
        <v>901</v>
      </c>
      <c r="AP16" s="443">
        <v>772</v>
      </c>
      <c r="AQ16" s="443">
        <v>560</v>
      </c>
      <c r="AR16" s="443">
        <v>766</v>
      </c>
      <c r="AS16" s="443"/>
      <c r="AT16" s="443"/>
      <c r="AU16" s="443"/>
      <c r="AV16" s="443"/>
      <c r="AW16" s="443"/>
      <c r="AX16" s="443"/>
    </row>
    <row r="17" spans="1:50" s="392" customFormat="1" ht="23.25" customHeight="1">
      <c r="A17" s="441">
        <v>4</v>
      </c>
      <c r="B17" s="442" t="s">
        <v>287</v>
      </c>
      <c r="C17" s="441">
        <v>22000</v>
      </c>
      <c r="D17" s="443">
        <v>12117</v>
      </c>
      <c r="E17" s="441">
        <f t="shared" si="9"/>
        <v>8704</v>
      </c>
      <c r="F17" s="451">
        <f t="shared" si="1"/>
        <v>39.563636363636363</v>
      </c>
      <c r="G17" s="443">
        <v>2047</v>
      </c>
      <c r="H17" s="443">
        <v>1258</v>
      </c>
      <c r="I17" s="443">
        <v>1459</v>
      </c>
      <c r="J17" s="443">
        <v>1476</v>
      </c>
      <c r="K17" s="443">
        <v>1147</v>
      </c>
      <c r="L17" s="443">
        <v>1317</v>
      </c>
      <c r="M17" s="443"/>
      <c r="N17" s="443"/>
      <c r="O17" s="443"/>
      <c r="P17" s="443"/>
      <c r="Q17" s="443"/>
      <c r="R17" s="443"/>
      <c r="S17" s="441">
        <v>1800</v>
      </c>
      <c r="T17" s="443">
        <v>958</v>
      </c>
      <c r="U17" s="441">
        <f t="shared" si="10"/>
        <v>628</v>
      </c>
      <c r="V17" s="451">
        <f t="shared" si="2"/>
        <v>34.888888888888893</v>
      </c>
      <c r="W17" s="443">
        <v>226</v>
      </c>
      <c r="X17" s="443">
        <v>125</v>
      </c>
      <c r="Y17" s="443">
        <v>78</v>
      </c>
      <c r="Z17" s="443">
        <v>93</v>
      </c>
      <c r="AA17" s="443">
        <v>47</v>
      </c>
      <c r="AB17" s="443">
        <v>59</v>
      </c>
      <c r="AC17" s="443"/>
      <c r="AD17" s="443"/>
      <c r="AE17" s="443"/>
      <c r="AF17" s="443"/>
      <c r="AG17" s="443"/>
      <c r="AH17" s="443"/>
      <c r="AI17" s="441">
        <v>14000</v>
      </c>
      <c r="AJ17" s="443">
        <v>6439</v>
      </c>
      <c r="AK17" s="441">
        <f t="shared" si="11"/>
        <v>4981</v>
      </c>
      <c r="AL17" s="451">
        <f t="shared" si="3"/>
        <v>35.578571428571429</v>
      </c>
      <c r="AM17" s="443">
        <v>1183</v>
      </c>
      <c r="AN17" s="443">
        <v>869</v>
      </c>
      <c r="AO17" s="443">
        <v>906</v>
      </c>
      <c r="AP17" s="443">
        <v>850</v>
      </c>
      <c r="AQ17" s="443">
        <v>464</v>
      </c>
      <c r="AR17" s="443">
        <v>709</v>
      </c>
      <c r="AS17" s="443"/>
      <c r="AT17" s="443"/>
      <c r="AU17" s="443"/>
      <c r="AV17" s="443"/>
      <c r="AW17" s="443"/>
      <c r="AX17" s="443"/>
    </row>
    <row r="18" spans="1:50" s="392" customFormat="1" ht="23.25" customHeight="1">
      <c r="A18" s="441">
        <v>5</v>
      </c>
      <c r="B18" s="442" t="s">
        <v>288</v>
      </c>
      <c r="C18" s="442">
        <v>25000</v>
      </c>
      <c r="D18" s="443">
        <v>9650</v>
      </c>
      <c r="E18" s="441">
        <f t="shared" si="9"/>
        <v>7233</v>
      </c>
      <c r="F18" s="451">
        <f t="shared" si="1"/>
        <v>28.932000000000002</v>
      </c>
      <c r="G18" s="443">
        <v>1955</v>
      </c>
      <c r="H18" s="443">
        <v>1106</v>
      </c>
      <c r="I18" s="443">
        <v>1310</v>
      </c>
      <c r="J18" s="443">
        <v>1203</v>
      </c>
      <c r="K18" s="443">
        <v>626</v>
      </c>
      <c r="L18" s="443">
        <v>1033</v>
      </c>
      <c r="M18" s="443"/>
      <c r="N18" s="443"/>
      <c r="O18" s="443"/>
      <c r="P18" s="443"/>
      <c r="Q18" s="443"/>
      <c r="R18" s="443"/>
      <c r="S18" s="441">
        <v>3200</v>
      </c>
      <c r="T18" s="443">
        <v>1368</v>
      </c>
      <c r="U18" s="441">
        <f t="shared" si="10"/>
        <v>1060</v>
      </c>
      <c r="V18" s="451">
        <f t="shared" si="2"/>
        <v>33.125</v>
      </c>
      <c r="W18" s="443">
        <v>332</v>
      </c>
      <c r="X18" s="443">
        <v>223</v>
      </c>
      <c r="Y18" s="443">
        <v>180</v>
      </c>
      <c r="Z18" s="443">
        <v>165</v>
      </c>
      <c r="AA18" s="443">
        <v>51</v>
      </c>
      <c r="AB18" s="443">
        <v>109</v>
      </c>
      <c r="AC18" s="443"/>
      <c r="AD18" s="443"/>
      <c r="AE18" s="443"/>
      <c r="AF18" s="443"/>
      <c r="AG18" s="443"/>
      <c r="AH18" s="443"/>
      <c r="AI18" s="441">
        <v>20000</v>
      </c>
      <c r="AJ18" s="443">
        <v>8194</v>
      </c>
      <c r="AK18" s="441">
        <f t="shared" si="11"/>
        <v>6167</v>
      </c>
      <c r="AL18" s="451">
        <f t="shared" si="3"/>
        <v>30.835000000000001</v>
      </c>
      <c r="AM18" s="443">
        <v>1585</v>
      </c>
      <c r="AN18" s="443">
        <v>901</v>
      </c>
      <c r="AO18" s="443">
        <v>1127</v>
      </c>
      <c r="AP18" s="443">
        <v>1059</v>
      </c>
      <c r="AQ18" s="443">
        <v>588</v>
      </c>
      <c r="AR18" s="443">
        <v>907</v>
      </c>
      <c r="AS18" s="443"/>
      <c r="AT18" s="443"/>
      <c r="AU18" s="443"/>
      <c r="AV18" s="443"/>
      <c r="AW18" s="443"/>
      <c r="AX18" s="443"/>
    </row>
    <row r="19" spans="1:50" s="392" customFormat="1" ht="23.25" customHeight="1">
      <c r="A19" s="441">
        <v>6</v>
      </c>
      <c r="B19" s="442" t="s">
        <v>289</v>
      </c>
      <c r="C19" s="441">
        <v>16700</v>
      </c>
      <c r="D19" s="443">
        <v>9456</v>
      </c>
      <c r="E19" s="441">
        <f t="shared" si="9"/>
        <v>6092</v>
      </c>
      <c r="F19" s="451">
        <f t="shared" si="1"/>
        <v>36.479041916167667</v>
      </c>
      <c r="G19" s="443">
        <v>1425</v>
      </c>
      <c r="H19" s="443">
        <v>865</v>
      </c>
      <c r="I19" s="443">
        <v>1140</v>
      </c>
      <c r="J19" s="443">
        <v>1150</v>
      </c>
      <c r="K19" s="443">
        <v>526</v>
      </c>
      <c r="L19" s="443">
        <v>986</v>
      </c>
      <c r="M19" s="443"/>
      <c r="N19" s="443"/>
      <c r="O19" s="443"/>
      <c r="P19" s="443"/>
      <c r="Q19" s="443"/>
      <c r="R19" s="443"/>
      <c r="S19" s="441">
        <v>2050</v>
      </c>
      <c r="T19" s="443">
        <v>1056</v>
      </c>
      <c r="U19" s="441">
        <f t="shared" si="10"/>
        <v>656</v>
      </c>
      <c r="V19" s="451">
        <f t="shared" si="2"/>
        <v>32</v>
      </c>
      <c r="W19" s="443">
        <v>197</v>
      </c>
      <c r="X19" s="443">
        <v>144</v>
      </c>
      <c r="Y19" s="443">
        <v>116</v>
      </c>
      <c r="Z19" s="443">
        <v>99</v>
      </c>
      <c r="AA19" s="443">
        <v>42</v>
      </c>
      <c r="AB19" s="443">
        <v>58</v>
      </c>
      <c r="AC19" s="443"/>
      <c r="AD19" s="443"/>
      <c r="AE19" s="443"/>
      <c r="AF19" s="443"/>
      <c r="AG19" s="443"/>
      <c r="AH19" s="443"/>
      <c r="AI19" s="441">
        <v>14000</v>
      </c>
      <c r="AJ19" s="443">
        <v>6332</v>
      </c>
      <c r="AK19" s="441">
        <f t="shared" si="11"/>
        <v>4273</v>
      </c>
      <c r="AL19" s="451">
        <f t="shared" si="3"/>
        <v>30.521428571428572</v>
      </c>
      <c r="AM19" s="443">
        <v>973</v>
      </c>
      <c r="AN19" s="443">
        <v>597</v>
      </c>
      <c r="AO19" s="443">
        <v>850</v>
      </c>
      <c r="AP19" s="443">
        <v>794</v>
      </c>
      <c r="AQ19" s="443">
        <v>425</v>
      </c>
      <c r="AR19" s="443">
        <v>634</v>
      </c>
      <c r="AS19" s="443"/>
      <c r="AT19" s="443"/>
      <c r="AU19" s="443"/>
      <c r="AV19" s="443"/>
      <c r="AW19" s="443"/>
      <c r="AX19" s="443"/>
    </row>
    <row r="20" spans="1:50" s="392" customFormat="1" ht="23.25" customHeight="1">
      <c r="A20" s="441">
        <v>7</v>
      </c>
      <c r="B20" s="442" t="s">
        <v>307</v>
      </c>
      <c r="C20" s="441">
        <v>2100</v>
      </c>
      <c r="D20" s="447">
        <v>926</v>
      </c>
      <c r="E20" s="441">
        <f t="shared" si="9"/>
        <v>498</v>
      </c>
      <c r="F20" s="451">
        <f t="shared" si="1"/>
        <v>23.714285714285715</v>
      </c>
      <c r="G20" s="447">
        <v>90</v>
      </c>
      <c r="H20" s="447">
        <v>113</v>
      </c>
      <c r="I20" s="447">
        <v>74</v>
      </c>
      <c r="J20" s="447">
        <v>102</v>
      </c>
      <c r="K20" s="447">
        <v>41</v>
      </c>
      <c r="L20" s="447">
        <v>78</v>
      </c>
      <c r="M20" s="447"/>
      <c r="N20" s="447"/>
      <c r="O20" s="447"/>
      <c r="P20" s="447"/>
      <c r="Q20" s="447"/>
      <c r="R20" s="447"/>
      <c r="S20" s="446">
        <v>100</v>
      </c>
      <c r="T20" s="447"/>
      <c r="U20" s="441">
        <f t="shared" si="10"/>
        <v>0</v>
      </c>
      <c r="V20" s="451">
        <f t="shared" si="2"/>
        <v>0</v>
      </c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6">
        <v>1300</v>
      </c>
      <c r="AJ20" s="447">
        <v>518</v>
      </c>
      <c r="AK20" s="441">
        <f t="shared" si="11"/>
        <v>328</v>
      </c>
      <c r="AL20" s="451">
        <f t="shared" si="3"/>
        <v>25.23076923076923</v>
      </c>
      <c r="AM20" s="447">
        <v>48</v>
      </c>
      <c r="AN20" s="447">
        <v>50</v>
      </c>
      <c r="AO20" s="447">
        <v>51</v>
      </c>
      <c r="AP20" s="447">
        <v>86</v>
      </c>
      <c r="AQ20" s="447">
        <v>38</v>
      </c>
      <c r="AR20" s="447">
        <v>55</v>
      </c>
      <c r="AS20" s="447"/>
      <c r="AT20" s="447"/>
      <c r="AU20" s="447"/>
      <c r="AV20" s="447"/>
      <c r="AW20" s="447"/>
      <c r="AX20" s="447"/>
    </row>
    <row r="21" spans="1:50" s="392" customFormat="1" ht="23.25" customHeight="1">
      <c r="A21" s="441">
        <v>8</v>
      </c>
      <c r="B21" s="442" t="s">
        <v>290</v>
      </c>
      <c r="C21" s="448">
        <v>7500</v>
      </c>
      <c r="D21" s="443">
        <v>3653</v>
      </c>
      <c r="E21" s="441">
        <f t="shared" si="9"/>
        <v>2643</v>
      </c>
      <c r="F21" s="451">
        <f t="shared" si="1"/>
        <v>35.24</v>
      </c>
      <c r="G21" s="450">
        <v>568</v>
      </c>
      <c r="H21" s="450">
        <v>444</v>
      </c>
      <c r="I21" s="450">
        <v>557</v>
      </c>
      <c r="J21" s="450">
        <v>458</v>
      </c>
      <c r="K21" s="450">
        <v>246</v>
      </c>
      <c r="L21" s="450">
        <v>370</v>
      </c>
      <c r="M21" s="450"/>
      <c r="N21" s="450"/>
      <c r="O21" s="450"/>
      <c r="P21" s="450"/>
      <c r="Q21" s="450"/>
      <c r="R21" s="450"/>
      <c r="S21" s="448">
        <v>850</v>
      </c>
      <c r="T21" s="443">
        <v>447</v>
      </c>
      <c r="U21" s="441">
        <f t="shared" si="10"/>
        <v>313</v>
      </c>
      <c r="V21" s="451">
        <f t="shared" si="2"/>
        <v>36.823529411764703</v>
      </c>
      <c r="W21" s="450">
        <v>88</v>
      </c>
      <c r="X21" s="450">
        <v>60</v>
      </c>
      <c r="Y21" s="450">
        <v>59</v>
      </c>
      <c r="Z21" s="450">
        <v>40</v>
      </c>
      <c r="AA21" s="450">
        <v>33</v>
      </c>
      <c r="AB21" s="450">
        <v>33</v>
      </c>
      <c r="AC21" s="450"/>
      <c r="AD21" s="450"/>
      <c r="AE21" s="450"/>
      <c r="AF21" s="450"/>
      <c r="AG21" s="450"/>
      <c r="AH21" s="450"/>
      <c r="AI21" s="448">
        <v>6000</v>
      </c>
      <c r="AJ21" s="443">
        <v>3193</v>
      </c>
      <c r="AK21" s="441">
        <f t="shared" si="11"/>
        <v>2320</v>
      </c>
      <c r="AL21" s="451">
        <f t="shared" si="3"/>
        <v>38.666666666666664</v>
      </c>
      <c r="AM21" s="450">
        <v>479</v>
      </c>
      <c r="AN21" s="450">
        <v>382</v>
      </c>
      <c r="AO21" s="450">
        <v>497</v>
      </c>
      <c r="AP21" s="450">
        <v>415</v>
      </c>
      <c r="AQ21" s="450">
        <v>212</v>
      </c>
      <c r="AR21" s="450">
        <v>335</v>
      </c>
      <c r="AS21" s="450"/>
      <c r="AT21" s="450"/>
      <c r="AU21" s="450"/>
      <c r="AV21" s="450"/>
      <c r="AW21" s="450"/>
      <c r="AX21" s="450"/>
    </row>
    <row r="22" spans="1:50">
      <c r="C22" s="393"/>
      <c r="D22" s="393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3"/>
      <c r="T22" s="393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3"/>
      <c r="AJ22" s="393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</row>
    <row r="23" spans="1:50">
      <c r="C23" s="393"/>
      <c r="D23" s="393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3"/>
      <c r="T23" s="393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3"/>
      <c r="AJ23" s="393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</row>
    <row r="30" spans="1:50">
      <c r="O30" s="389">
        <f>55+645+641+22</f>
        <v>1363</v>
      </c>
      <c r="S30" s="392">
        <f>558+611</f>
        <v>1169</v>
      </c>
    </row>
    <row r="31" spans="1:50">
      <c r="O31" s="389">
        <f>40+430+83+5</f>
        <v>558</v>
      </c>
    </row>
  </sheetData>
  <mergeCells count="23">
    <mergeCell ref="AM5:AX5"/>
    <mergeCell ref="V5:V6"/>
    <mergeCell ref="W5:AH5"/>
    <mergeCell ref="AI5:AI6"/>
    <mergeCell ref="AJ5:AJ6"/>
    <mergeCell ref="AK5:AK6"/>
    <mergeCell ref="AL5:AL6"/>
    <mergeCell ref="U5:U6"/>
    <mergeCell ref="A1:AX1"/>
    <mergeCell ref="A2:AX2"/>
    <mergeCell ref="A3:A6"/>
    <mergeCell ref="B3:B6"/>
    <mergeCell ref="C3:AX3"/>
    <mergeCell ref="C4:R4"/>
    <mergeCell ref="S4:AH4"/>
    <mergeCell ref="AI4:AX4"/>
    <mergeCell ref="C5:C6"/>
    <mergeCell ref="D5:D6"/>
    <mergeCell ref="E5:E6"/>
    <mergeCell ref="F5:F6"/>
    <mergeCell ref="G5:R5"/>
    <mergeCell ref="S5:S6"/>
    <mergeCell ref="T5:T6"/>
  </mergeCells>
  <pageMargins left="0.5" right="0.32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opLeftCell="A67" workbookViewId="0">
      <selection activeCell="A77" sqref="A77:L77"/>
    </sheetView>
  </sheetViews>
  <sheetFormatPr defaultRowHeight="12.75"/>
  <cols>
    <col min="1" max="1" width="4.5" style="7" customWidth="1"/>
    <col min="2" max="2" width="25.75" style="7" customWidth="1"/>
    <col min="3" max="3" width="9" style="7"/>
    <col min="4" max="4" width="9.625" style="48" bestFit="1" customWidth="1"/>
    <col min="5" max="5" width="9.375" style="49" customWidth="1"/>
    <col min="6" max="6" width="9.75" style="49" bestFit="1" customWidth="1"/>
    <col min="7" max="7" width="10.5" style="49" bestFit="1" customWidth="1"/>
    <col min="8" max="8" width="9.875" style="49" bestFit="1" customWidth="1"/>
    <col min="9" max="9" width="10.75" style="50" customWidth="1"/>
    <col min="10" max="10" width="9" style="50"/>
    <col min="11" max="11" width="12.25" style="1" customWidth="1"/>
    <col min="12" max="12" width="10.5" style="7" customWidth="1"/>
    <col min="13" max="16384" width="9" style="7"/>
  </cols>
  <sheetData>
    <row r="1" spans="1:14" ht="15.75">
      <c r="A1" s="467" t="s">
        <v>8</v>
      </c>
      <c r="B1" s="467"/>
      <c r="C1" s="2"/>
      <c r="D1" s="3"/>
      <c r="E1" s="4"/>
      <c r="F1" s="4"/>
      <c r="G1" s="4"/>
      <c r="H1" s="4"/>
      <c r="I1" s="5"/>
      <c r="J1" s="5"/>
      <c r="K1" s="6"/>
      <c r="L1" s="2"/>
    </row>
    <row r="2" spans="1:14" ht="15.75" customHeight="1">
      <c r="A2" s="475" t="s">
        <v>161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4" ht="15.75">
      <c r="A3" s="474" t="s">
        <v>162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</row>
    <row r="4" spans="1:14" ht="15.7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4" ht="12.75" customHeight="1">
      <c r="A5" s="487" t="s">
        <v>9</v>
      </c>
      <c r="B5" s="489" t="s">
        <v>10</v>
      </c>
      <c r="C5" s="489" t="s">
        <v>11</v>
      </c>
      <c r="D5" s="491" t="s">
        <v>20</v>
      </c>
      <c r="E5" s="493" t="s">
        <v>153</v>
      </c>
      <c r="F5" s="494"/>
      <c r="G5" s="494"/>
      <c r="H5" s="495"/>
      <c r="I5" s="493" t="s">
        <v>0</v>
      </c>
      <c r="J5" s="495"/>
      <c r="K5" s="496" t="s">
        <v>1</v>
      </c>
      <c r="L5" s="482" t="s">
        <v>2</v>
      </c>
    </row>
    <row r="6" spans="1:14" ht="85.5" customHeight="1">
      <c r="A6" s="488"/>
      <c r="B6" s="490"/>
      <c r="C6" s="490"/>
      <c r="D6" s="492"/>
      <c r="E6" s="118" t="s">
        <v>3</v>
      </c>
      <c r="F6" s="121" t="s">
        <v>154</v>
      </c>
      <c r="G6" s="118" t="s">
        <v>22</v>
      </c>
      <c r="H6" s="118" t="s">
        <v>4</v>
      </c>
      <c r="I6" s="118" t="s">
        <v>23</v>
      </c>
      <c r="J6" s="118" t="s">
        <v>24</v>
      </c>
      <c r="K6" s="497"/>
      <c r="L6" s="483"/>
    </row>
    <row r="7" spans="1:14">
      <c r="A7" s="9" t="s">
        <v>5</v>
      </c>
      <c r="B7" s="9" t="s">
        <v>6</v>
      </c>
      <c r="C7" s="9" t="s">
        <v>7</v>
      </c>
      <c r="D7" s="10">
        <v>1</v>
      </c>
      <c r="E7" s="10">
        <v>2</v>
      </c>
      <c r="F7" s="10">
        <v>4</v>
      </c>
      <c r="G7" s="10">
        <v>5</v>
      </c>
      <c r="H7" s="10">
        <v>6</v>
      </c>
      <c r="I7" s="11">
        <v>7</v>
      </c>
      <c r="J7" s="11">
        <v>8</v>
      </c>
      <c r="K7" s="9">
        <v>9</v>
      </c>
      <c r="L7" s="9">
        <v>10</v>
      </c>
    </row>
    <row r="8" spans="1:14" ht="13.5">
      <c r="A8" s="12"/>
      <c r="B8" s="12"/>
      <c r="C8" s="12"/>
      <c r="D8" s="13"/>
      <c r="E8" s="13"/>
      <c r="F8" s="14"/>
      <c r="G8" s="14"/>
      <c r="H8" s="14"/>
      <c r="I8" s="15"/>
      <c r="J8" s="15"/>
      <c r="K8" s="16"/>
      <c r="L8" s="12"/>
      <c r="N8" s="17"/>
    </row>
    <row r="9" spans="1:14">
      <c r="A9" s="18" t="s">
        <v>12</v>
      </c>
      <c r="B9" s="484" t="s">
        <v>16</v>
      </c>
      <c r="C9" s="485"/>
      <c r="D9" s="485"/>
      <c r="E9" s="485"/>
      <c r="F9" s="485"/>
      <c r="G9" s="485"/>
      <c r="H9" s="485"/>
      <c r="I9" s="485"/>
      <c r="J9" s="485"/>
      <c r="K9" s="485"/>
      <c r="L9" s="486"/>
    </row>
    <row r="10" spans="1:14">
      <c r="A10" s="61">
        <v>1</v>
      </c>
      <c r="B10" s="93" t="s">
        <v>63</v>
      </c>
      <c r="C10" s="19"/>
      <c r="D10" s="21"/>
      <c r="E10" s="22"/>
      <c r="F10" s="21"/>
      <c r="G10" s="21"/>
      <c r="H10" s="21"/>
      <c r="I10" s="23"/>
      <c r="J10" s="24"/>
      <c r="K10" s="25"/>
      <c r="L10" s="26"/>
    </row>
    <row r="11" spans="1:14">
      <c r="A11" s="116"/>
      <c r="B11" s="65" t="s">
        <v>64</v>
      </c>
      <c r="C11" s="66" t="s">
        <v>76</v>
      </c>
      <c r="D11" s="109">
        <f>D13+D14</f>
        <v>462629</v>
      </c>
      <c r="E11" s="124">
        <f>E13+E14</f>
        <v>469102</v>
      </c>
      <c r="F11" s="109">
        <f t="shared" ref="F11" si="0">F13+F14</f>
        <v>469102</v>
      </c>
      <c r="G11" s="131">
        <v>469102</v>
      </c>
      <c r="H11" s="131">
        <v>469102</v>
      </c>
      <c r="I11" s="23"/>
      <c r="J11" s="24"/>
      <c r="K11" s="31"/>
      <c r="L11" s="32"/>
    </row>
    <row r="12" spans="1:14">
      <c r="A12" s="116"/>
      <c r="B12" s="65" t="s">
        <v>65</v>
      </c>
      <c r="C12" s="66"/>
      <c r="D12" s="99"/>
      <c r="E12" s="30"/>
      <c r="F12" s="109"/>
      <c r="G12" s="131"/>
      <c r="H12" s="131"/>
      <c r="I12" s="23"/>
      <c r="J12" s="24"/>
      <c r="K12" s="31"/>
      <c r="L12" s="32"/>
    </row>
    <row r="13" spans="1:14">
      <c r="A13" s="116"/>
      <c r="B13" s="65" t="s">
        <v>66</v>
      </c>
      <c r="C13" s="66" t="s">
        <v>76</v>
      </c>
      <c r="D13" s="99">
        <v>82594</v>
      </c>
      <c r="E13" s="124">
        <v>84161</v>
      </c>
      <c r="F13" s="109">
        <v>84161</v>
      </c>
      <c r="G13" s="131">
        <v>84161</v>
      </c>
      <c r="H13" s="131">
        <v>84161</v>
      </c>
      <c r="I13" s="23"/>
      <c r="J13" s="24"/>
      <c r="K13" s="31"/>
      <c r="L13" s="32"/>
    </row>
    <row r="14" spans="1:14">
      <c r="A14" s="116"/>
      <c r="B14" s="65" t="s">
        <v>67</v>
      </c>
      <c r="C14" s="66" t="s">
        <v>76</v>
      </c>
      <c r="D14" s="99">
        <v>380035</v>
      </c>
      <c r="E14" s="124">
        <v>384941</v>
      </c>
      <c r="F14" s="109">
        <v>384941</v>
      </c>
      <c r="G14" s="131">
        <v>384941</v>
      </c>
      <c r="H14" s="131">
        <v>384941</v>
      </c>
      <c r="I14" s="23"/>
      <c r="J14" s="24"/>
      <c r="K14" s="33"/>
      <c r="L14" s="34"/>
    </row>
    <row r="15" spans="1:14">
      <c r="A15" s="116"/>
      <c r="B15" s="65" t="s">
        <v>68</v>
      </c>
      <c r="C15" s="66" t="s">
        <v>76</v>
      </c>
      <c r="D15" s="99">
        <v>390371</v>
      </c>
      <c r="E15" s="124">
        <v>397043</v>
      </c>
      <c r="F15" s="109">
        <v>397043</v>
      </c>
      <c r="G15" s="131">
        <v>397043</v>
      </c>
      <c r="H15" s="131">
        <v>397043</v>
      </c>
      <c r="I15" s="23"/>
      <c r="J15" s="24"/>
      <c r="K15" s="33"/>
      <c r="L15" s="34"/>
    </row>
    <row r="16" spans="1:14">
      <c r="A16" s="116"/>
      <c r="B16" s="65" t="s">
        <v>69</v>
      </c>
      <c r="C16" s="66" t="s">
        <v>77</v>
      </c>
      <c r="D16" s="27">
        <v>2.04</v>
      </c>
      <c r="E16" s="125">
        <v>1.45</v>
      </c>
      <c r="F16" s="29"/>
      <c r="G16" s="132">
        <v>0.36</v>
      </c>
      <c r="H16" s="129">
        <v>1.45</v>
      </c>
      <c r="I16" s="23"/>
      <c r="J16" s="24"/>
      <c r="K16" s="35"/>
      <c r="L16" s="36"/>
    </row>
    <row r="17" spans="1:12">
      <c r="A17" s="116"/>
      <c r="B17" s="65" t="s">
        <v>70</v>
      </c>
      <c r="C17" s="66" t="s">
        <v>78</v>
      </c>
      <c r="D17" s="27">
        <v>0.86</v>
      </c>
      <c r="E17" s="125">
        <v>0.5</v>
      </c>
      <c r="F17" s="29"/>
      <c r="G17" s="132">
        <v>0.6</v>
      </c>
      <c r="H17" s="129">
        <v>0.5</v>
      </c>
      <c r="I17" s="23"/>
      <c r="J17" s="24"/>
      <c r="K17" s="31"/>
      <c r="L17" s="32"/>
    </row>
    <row r="18" spans="1:12">
      <c r="A18" s="116"/>
      <c r="B18" s="65" t="s">
        <v>71</v>
      </c>
      <c r="C18" s="66" t="s">
        <v>79</v>
      </c>
      <c r="D18" s="27">
        <v>15.75</v>
      </c>
      <c r="E18" s="125">
        <v>15.45</v>
      </c>
      <c r="F18" s="30"/>
      <c r="G18" s="125">
        <v>3.86</v>
      </c>
      <c r="H18" s="122">
        <v>15.45</v>
      </c>
      <c r="I18" s="23"/>
      <c r="J18" s="24"/>
      <c r="K18" s="35"/>
      <c r="L18" s="36"/>
    </row>
    <row r="19" spans="1:12" ht="22.5">
      <c r="A19" s="116"/>
      <c r="B19" s="65" t="s">
        <v>72</v>
      </c>
      <c r="C19" s="66" t="s">
        <v>77</v>
      </c>
      <c r="D19" s="117">
        <v>109.06</v>
      </c>
      <c r="E19" s="126">
        <v>109.6</v>
      </c>
      <c r="F19" s="37"/>
      <c r="G19" s="37">
        <v>108</v>
      </c>
      <c r="H19" s="130">
        <v>109.6</v>
      </c>
      <c r="I19" s="23"/>
      <c r="J19" s="24"/>
      <c r="K19" s="38"/>
      <c r="L19" s="27"/>
    </row>
    <row r="20" spans="1:12">
      <c r="A20" s="116">
        <v>2</v>
      </c>
      <c r="B20" s="64" t="s">
        <v>73</v>
      </c>
      <c r="C20" s="66"/>
      <c r="D20" s="117"/>
      <c r="E20" s="124"/>
      <c r="F20" s="30"/>
      <c r="G20" s="124"/>
      <c r="H20" s="122"/>
      <c r="I20" s="23"/>
      <c r="J20" s="24"/>
      <c r="K20" s="35"/>
      <c r="L20" s="36"/>
    </row>
    <row r="21" spans="1:12" ht="22.5">
      <c r="A21" s="116"/>
      <c r="B21" s="65" t="s">
        <v>74</v>
      </c>
      <c r="C21" s="66" t="s">
        <v>77</v>
      </c>
      <c r="D21" s="117">
        <v>70.19</v>
      </c>
      <c r="E21" s="123">
        <v>70</v>
      </c>
      <c r="F21" s="30"/>
      <c r="G21" s="123">
        <v>70</v>
      </c>
      <c r="H21" s="122">
        <v>70</v>
      </c>
      <c r="I21" s="23"/>
      <c r="J21" s="24"/>
      <c r="K21" s="39"/>
      <c r="L21" s="27"/>
    </row>
    <row r="22" spans="1:12" ht="22.5">
      <c r="A22" s="68"/>
      <c r="B22" s="69" t="s">
        <v>75</v>
      </c>
      <c r="C22" s="70" t="s">
        <v>77</v>
      </c>
      <c r="D22" s="71">
        <v>16.09</v>
      </c>
      <c r="E22" s="123">
        <v>15.5</v>
      </c>
      <c r="F22" s="42"/>
      <c r="G22" s="128">
        <v>15.5</v>
      </c>
      <c r="H22" s="119">
        <v>15.5</v>
      </c>
      <c r="I22" s="23"/>
      <c r="J22" s="24"/>
      <c r="K22" s="39"/>
      <c r="L22" s="40"/>
    </row>
    <row r="23" spans="1:12">
      <c r="A23" s="74" t="s">
        <v>6</v>
      </c>
      <c r="B23" s="75" t="s">
        <v>18</v>
      </c>
      <c r="C23" s="40"/>
      <c r="D23" s="42"/>
      <c r="E23" s="30"/>
      <c r="F23" s="42"/>
      <c r="G23" s="42"/>
      <c r="H23" s="42"/>
      <c r="I23" s="23"/>
      <c r="J23" s="24"/>
      <c r="K23" s="39"/>
      <c r="L23" s="40"/>
    </row>
    <row r="24" spans="1:12">
      <c r="A24" s="89" t="s">
        <v>12</v>
      </c>
      <c r="B24" s="90" t="s">
        <v>80</v>
      </c>
      <c r="C24" s="40"/>
      <c r="D24" s="42"/>
      <c r="E24" s="30"/>
      <c r="F24" s="42"/>
      <c r="G24" s="42"/>
      <c r="H24" s="42"/>
      <c r="I24" s="23"/>
      <c r="J24" s="24"/>
      <c r="K24" s="39"/>
      <c r="L24" s="40"/>
    </row>
    <row r="25" spans="1:12">
      <c r="A25" s="79">
        <v>1</v>
      </c>
      <c r="B25" s="65" t="s">
        <v>81</v>
      </c>
      <c r="C25" s="79" t="s">
        <v>82</v>
      </c>
      <c r="D25" s="117">
        <v>122</v>
      </c>
      <c r="E25" s="30">
        <v>122</v>
      </c>
      <c r="F25" s="30">
        <v>122</v>
      </c>
      <c r="G25" s="124">
        <v>122</v>
      </c>
      <c r="H25" s="30">
        <v>122</v>
      </c>
      <c r="I25" s="23"/>
      <c r="J25" s="24"/>
      <c r="K25" s="39"/>
      <c r="L25" s="40"/>
    </row>
    <row r="26" spans="1:12">
      <c r="A26" s="80"/>
      <c r="B26" s="81" t="s">
        <v>83</v>
      </c>
      <c r="C26" s="80" t="s">
        <v>84</v>
      </c>
      <c r="D26" s="117">
        <v>1</v>
      </c>
      <c r="E26" s="30">
        <v>1</v>
      </c>
      <c r="F26" s="30">
        <v>1</v>
      </c>
      <c r="G26" s="124">
        <v>1</v>
      </c>
      <c r="H26" s="30">
        <v>1</v>
      </c>
      <c r="I26" s="23"/>
      <c r="J26" s="24"/>
      <c r="K26" s="39"/>
      <c r="L26" s="40"/>
    </row>
    <row r="27" spans="1:12">
      <c r="A27" s="80"/>
      <c r="B27" s="81" t="s">
        <v>85</v>
      </c>
      <c r="C27" s="80" t="s">
        <v>84</v>
      </c>
      <c r="D27" s="117">
        <v>2</v>
      </c>
      <c r="E27" s="30">
        <v>2</v>
      </c>
      <c r="F27" s="30">
        <v>2</v>
      </c>
      <c r="G27" s="124">
        <v>2</v>
      </c>
      <c r="H27" s="30">
        <v>2</v>
      </c>
      <c r="I27" s="23"/>
      <c r="J27" s="24"/>
      <c r="K27" s="39"/>
      <c r="L27" s="40"/>
    </row>
    <row r="28" spans="1:12">
      <c r="A28" s="80"/>
      <c r="B28" s="81" t="s">
        <v>149</v>
      </c>
      <c r="C28" s="80" t="s">
        <v>87</v>
      </c>
      <c r="D28" s="117">
        <v>1</v>
      </c>
      <c r="E28" s="30">
        <v>1</v>
      </c>
      <c r="F28" s="30">
        <v>1</v>
      </c>
      <c r="G28" s="124">
        <v>1</v>
      </c>
      <c r="H28" s="30">
        <v>1</v>
      </c>
      <c r="I28" s="23"/>
      <c r="J28" s="24"/>
      <c r="K28" s="39"/>
      <c r="L28" s="40"/>
    </row>
    <row r="29" spans="1:12">
      <c r="A29" s="80"/>
      <c r="B29" s="81" t="s">
        <v>86</v>
      </c>
      <c r="C29" s="80" t="s">
        <v>87</v>
      </c>
      <c r="D29" s="117">
        <v>8</v>
      </c>
      <c r="E29" s="30">
        <v>8</v>
      </c>
      <c r="F29" s="30">
        <v>8</v>
      </c>
      <c r="G29" s="124">
        <v>8</v>
      </c>
      <c r="H29" s="30">
        <v>8</v>
      </c>
      <c r="I29" s="23"/>
      <c r="J29" s="24"/>
      <c r="K29" s="39"/>
      <c r="L29" s="40"/>
    </row>
    <row r="30" spans="1:12">
      <c r="A30" s="80"/>
      <c r="B30" s="98" t="s">
        <v>151</v>
      </c>
      <c r="C30" s="80" t="s">
        <v>87</v>
      </c>
      <c r="D30" s="117">
        <v>1</v>
      </c>
      <c r="E30" s="30">
        <v>1</v>
      </c>
      <c r="F30" s="30">
        <v>1</v>
      </c>
      <c r="G30" s="124">
        <v>1</v>
      </c>
      <c r="H30" s="30">
        <v>1</v>
      </c>
      <c r="I30" s="23"/>
      <c r="J30" s="24"/>
      <c r="K30" s="39"/>
      <c r="L30" s="40"/>
    </row>
    <row r="31" spans="1:12">
      <c r="A31" s="80"/>
      <c r="B31" s="82" t="s">
        <v>88</v>
      </c>
      <c r="C31" s="80" t="s">
        <v>89</v>
      </c>
      <c r="D31" s="117">
        <v>4</v>
      </c>
      <c r="E31" s="30">
        <v>4</v>
      </c>
      <c r="F31" s="30">
        <v>4</v>
      </c>
      <c r="G31" s="124">
        <v>4</v>
      </c>
      <c r="H31" s="30">
        <v>4</v>
      </c>
      <c r="I31" s="23"/>
      <c r="J31" s="24"/>
      <c r="K31" s="39"/>
      <c r="L31" s="40"/>
    </row>
    <row r="32" spans="1:12">
      <c r="A32" s="80"/>
      <c r="B32" s="82" t="s">
        <v>90</v>
      </c>
      <c r="C32" s="80" t="s">
        <v>91</v>
      </c>
      <c r="D32" s="117">
        <v>105</v>
      </c>
      <c r="E32" s="30">
        <v>105</v>
      </c>
      <c r="F32" s="30">
        <v>105</v>
      </c>
      <c r="G32" s="124">
        <v>105</v>
      </c>
      <c r="H32" s="30">
        <v>105</v>
      </c>
      <c r="I32" s="23"/>
      <c r="J32" s="24"/>
      <c r="K32" s="39"/>
      <c r="L32" s="40"/>
    </row>
    <row r="33" spans="1:12">
      <c r="A33" s="79">
        <v>2</v>
      </c>
      <c r="B33" s="65" t="s">
        <v>92</v>
      </c>
      <c r="C33" s="79" t="s">
        <v>82</v>
      </c>
      <c r="D33" s="117">
        <v>2</v>
      </c>
      <c r="E33" s="30">
        <v>2</v>
      </c>
      <c r="F33" s="30">
        <v>2</v>
      </c>
      <c r="G33" s="124">
        <v>2</v>
      </c>
      <c r="H33" s="30">
        <v>2</v>
      </c>
      <c r="I33" s="23"/>
      <c r="J33" s="24"/>
      <c r="K33" s="39"/>
      <c r="L33" s="40"/>
    </row>
    <row r="34" spans="1:12">
      <c r="A34" s="79">
        <v>3</v>
      </c>
      <c r="B34" s="83" t="s">
        <v>93</v>
      </c>
      <c r="C34" s="79" t="s">
        <v>94</v>
      </c>
      <c r="D34" s="117">
        <v>1450</v>
      </c>
      <c r="E34" s="30">
        <f>E35+E36</f>
        <v>1580</v>
      </c>
      <c r="F34" s="30">
        <v>1580</v>
      </c>
      <c r="G34" s="124">
        <v>1580</v>
      </c>
      <c r="H34" s="30">
        <v>1580</v>
      </c>
      <c r="I34" s="23"/>
      <c r="J34" s="24"/>
      <c r="K34" s="39"/>
      <c r="L34" s="40"/>
    </row>
    <row r="35" spans="1:12">
      <c r="A35" s="79"/>
      <c r="B35" s="83" t="s">
        <v>95</v>
      </c>
      <c r="C35" s="79" t="s">
        <v>94</v>
      </c>
      <c r="D35" s="117">
        <v>590</v>
      </c>
      <c r="E35" s="30">
        <v>660</v>
      </c>
      <c r="F35" s="30">
        <v>660</v>
      </c>
      <c r="G35" s="124">
        <v>660</v>
      </c>
      <c r="H35" s="30">
        <v>660</v>
      </c>
      <c r="I35" s="23"/>
      <c r="J35" s="24"/>
      <c r="K35" s="39"/>
      <c r="L35" s="40"/>
    </row>
    <row r="36" spans="1:12">
      <c r="A36" s="79"/>
      <c r="B36" s="83" t="s">
        <v>96</v>
      </c>
      <c r="C36" s="79" t="s">
        <v>94</v>
      </c>
      <c r="D36" s="117">
        <v>860</v>
      </c>
      <c r="E36" s="30">
        <f>E37+E38</f>
        <v>920</v>
      </c>
      <c r="F36" s="30">
        <v>920</v>
      </c>
      <c r="G36" s="124">
        <v>920</v>
      </c>
      <c r="H36" s="30">
        <v>920</v>
      </c>
      <c r="I36" s="23"/>
      <c r="J36" s="24"/>
      <c r="K36" s="39"/>
      <c r="L36" s="40"/>
    </row>
    <row r="37" spans="1:12">
      <c r="A37" s="80"/>
      <c r="B37" s="81" t="s">
        <v>97</v>
      </c>
      <c r="C37" s="79" t="s">
        <v>94</v>
      </c>
      <c r="D37" s="117">
        <v>800</v>
      </c>
      <c r="E37" s="30">
        <v>860</v>
      </c>
      <c r="F37" s="30">
        <v>860</v>
      </c>
      <c r="G37" s="124">
        <v>860</v>
      </c>
      <c r="H37" s="30">
        <v>860</v>
      </c>
      <c r="I37" s="23"/>
      <c r="J37" s="24"/>
      <c r="K37" s="39"/>
      <c r="L37" s="40"/>
    </row>
    <row r="38" spans="1:12">
      <c r="A38" s="80"/>
      <c r="B38" s="95" t="s">
        <v>150</v>
      </c>
      <c r="C38" s="80" t="s">
        <v>94</v>
      </c>
      <c r="D38" s="117">
        <v>60</v>
      </c>
      <c r="E38" s="30">
        <v>60</v>
      </c>
      <c r="F38" s="30">
        <v>60</v>
      </c>
      <c r="G38" s="124">
        <v>60</v>
      </c>
      <c r="H38" s="30">
        <v>60</v>
      </c>
      <c r="I38" s="23"/>
      <c r="J38" s="24"/>
      <c r="K38" s="39"/>
      <c r="L38" s="40"/>
    </row>
    <row r="39" spans="1:12" ht="22.5">
      <c r="A39" s="79">
        <v>4</v>
      </c>
      <c r="B39" s="65" t="s">
        <v>98</v>
      </c>
      <c r="C39" s="79" t="s">
        <v>94</v>
      </c>
      <c r="D39" s="117">
        <v>31.68</v>
      </c>
      <c r="E39" s="122">
        <f>E34/E11*10000</f>
        <v>33.68137420006736</v>
      </c>
      <c r="F39" s="122">
        <v>33.68137420006736</v>
      </c>
      <c r="G39" s="122">
        <v>33.68137420006736</v>
      </c>
      <c r="H39" s="122">
        <v>33.68137420006736</v>
      </c>
      <c r="I39" s="23"/>
      <c r="J39" s="24"/>
      <c r="K39" s="39"/>
      <c r="L39" s="40"/>
    </row>
    <row r="40" spans="1:12" ht="22.5">
      <c r="A40" s="80"/>
      <c r="B40" s="84" t="s">
        <v>99</v>
      </c>
      <c r="C40" s="80" t="s">
        <v>100</v>
      </c>
      <c r="D40" s="117">
        <v>31.68</v>
      </c>
      <c r="E40" s="122">
        <f>E34/E11*10000</f>
        <v>33.68137420006736</v>
      </c>
      <c r="F40" s="122">
        <v>33.68137420006736</v>
      </c>
      <c r="G40" s="122">
        <v>33.68137420006736</v>
      </c>
      <c r="H40" s="122">
        <v>33.68137420006736</v>
      </c>
      <c r="I40" s="23"/>
      <c r="J40" s="24"/>
      <c r="K40" s="39"/>
      <c r="L40" s="40"/>
    </row>
    <row r="41" spans="1:12">
      <c r="A41" s="77" t="s">
        <v>101</v>
      </c>
      <c r="B41" s="78" t="s">
        <v>102</v>
      </c>
      <c r="C41" s="77"/>
      <c r="D41" s="101"/>
      <c r="E41" s="30"/>
      <c r="F41" s="42"/>
      <c r="G41" s="124"/>
      <c r="H41" s="42"/>
      <c r="I41" s="23"/>
      <c r="J41" s="24"/>
      <c r="K41" s="39"/>
      <c r="L41" s="40"/>
    </row>
    <row r="42" spans="1:12">
      <c r="A42" s="79">
        <v>1</v>
      </c>
      <c r="B42" s="65" t="s">
        <v>103</v>
      </c>
      <c r="C42" s="102" t="s">
        <v>76</v>
      </c>
      <c r="D42" s="108">
        <v>2842</v>
      </c>
      <c r="E42" s="30">
        <v>3085</v>
      </c>
      <c r="F42" s="124">
        <v>2829</v>
      </c>
      <c r="G42" s="124">
        <v>2827</v>
      </c>
      <c r="H42" s="124">
        <v>3085</v>
      </c>
      <c r="I42" s="23"/>
      <c r="J42" s="24"/>
      <c r="K42" s="39"/>
      <c r="L42" s="40"/>
    </row>
    <row r="43" spans="1:12">
      <c r="A43" s="79"/>
      <c r="B43" s="65" t="s">
        <v>104</v>
      </c>
      <c r="C43" s="102"/>
      <c r="D43" s="28"/>
      <c r="E43" s="30"/>
      <c r="F43" s="124"/>
      <c r="G43" s="124"/>
      <c r="H43" s="124"/>
      <c r="I43" s="23"/>
      <c r="J43" s="24"/>
      <c r="K43" s="39"/>
      <c r="L43" s="40"/>
    </row>
    <row r="44" spans="1:12">
      <c r="A44" s="79" t="s">
        <v>105</v>
      </c>
      <c r="B44" s="65" t="s">
        <v>106</v>
      </c>
      <c r="C44" s="102" t="s">
        <v>76</v>
      </c>
      <c r="D44" s="28">
        <v>419</v>
      </c>
      <c r="E44" s="30">
        <v>568</v>
      </c>
      <c r="F44" s="124">
        <v>430</v>
      </c>
      <c r="G44" s="124">
        <v>428</v>
      </c>
      <c r="H44" s="124">
        <v>568</v>
      </c>
      <c r="I44" s="23"/>
      <c r="J44" s="24"/>
      <c r="K44" s="39"/>
      <c r="L44" s="40"/>
    </row>
    <row r="45" spans="1:12">
      <c r="A45" s="80"/>
      <c r="B45" s="82" t="s">
        <v>107</v>
      </c>
      <c r="C45" s="103" t="s">
        <v>108</v>
      </c>
      <c r="D45" s="105">
        <v>9.0569333094120772</v>
      </c>
      <c r="E45" s="122">
        <f>E44/E11*10000</f>
        <v>12.108240851669786</v>
      </c>
      <c r="F45" s="122">
        <v>9.1664499405246627</v>
      </c>
      <c r="G45" s="125">
        <v>9.1238152896385021</v>
      </c>
      <c r="H45" s="122">
        <v>12.108240851669786</v>
      </c>
      <c r="I45" s="23"/>
      <c r="J45" s="24"/>
      <c r="K45" s="39"/>
      <c r="L45" s="40"/>
    </row>
    <row r="46" spans="1:12">
      <c r="A46" s="79" t="s">
        <v>109</v>
      </c>
      <c r="B46" s="65" t="s">
        <v>110</v>
      </c>
      <c r="C46" s="102" t="s">
        <v>76</v>
      </c>
      <c r="D46" s="28">
        <v>52</v>
      </c>
      <c r="E46" s="30">
        <v>65</v>
      </c>
      <c r="F46" s="124">
        <v>59</v>
      </c>
      <c r="G46" s="124">
        <v>60</v>
      </c>
      <c r="H46" s="124">
        <v>65</v>
      </c>
      <c r="I46" s="23"/>
      <c r="J46" s="24"/>
      <c r="K46" s="39"/>
      <c r="L46" s="40"/>
    </row>
    <row r="47" spans="1:12">
      <c r="A47" s="80"/>
      <c r="B47" s="82" t="s">
        <v>111</v>
      </c>
      <c r="C47" s="103" t="s">
        <v>108</v>
      </c>
      <c r="D47" s="105">
        <v>1.1240108164425491</v>
      </c>
      <c r="E47" s="122">
        <f>E46/E11*10000</f>
        <v>1.3856261538002397</v>
      </c>
      <c r="F47" s="122">
        <v>1.2577222011417559</v>
      </c>
      <c r="G47" s="122">
        <v>1.2790395265848367</v>
      </c>
      <c r="H47" s="122">
        <v>1.3856261538002397</v>
      </c>
      <c r="I47" s="23"/>
      <c r="J47" s="24"/>
      <c r="K47" s="39"/>
      <c r="L47" s="40"/>
    </row>
    <row r="48" spans="1:12" ht="22.5">
      <c r="A48" s="79">
        <v>3</v>
      </c>
      <c r="B48" s="65" t="s">
        <v>112</v>
      </c>
      <c r="C48" s="102" t="s">
        <v>77</v>
      </c>
      <c r="D48" s="105">
        <v>17.592592592592592</v>
      </c>
      <c r="E48" s="122">
        <f>20/108*100</f>
        <v>18.518518518518519</v>
      </c>
      <c r="F48" s="122">
        <v>17.592592592592592</v>
      </c>
      <c r="G48" s="122">
        <v>18.518518518518519</v>
      </c>
      <c r="H48" s="122">
        <v>18.518518518518519</v>
      </c>
      <c r="I48" s="23"/>
      <c r="J48" s="24"/>
      <c r="K48" s="39"/>
      <c r="L48" s="40"/>
    </row>
    <row r="49" spans="1:12" ht="22.5">
      <c r="A49" s="79">
        <v>5</v>
      </c>
      <c r="B49" s="65" t="s">
        <v>113</v>
      </c>
      <c r="C49" s="79" t="s">
        <v>77</v>
      </c>
      <c r="D49" s="104">
        <v>95.909090909090907</v>
      </c>
      <c r="E49" s="122">
        <f>922/954*100</f>
        <v>96.645702306079656</v>
      </c>
      <c r="F49" s="122">
        <v>96.645702306079656</v>
      </c>
      <c r="G49" s="125">
        <v>96.645702306079656</v>
      </c>
      <c r="H49" s="122">
        <v>96.645702306079656</v>
      </c>
      <c r="I49" s="23"/>
      <c r="J49" s="24"/>
      <c r="K49" s="39"/>
      <c r="L49" s="40"/>
    </row>
    <row r="50" spans="1:12">
      <c r="A50" s="77" t="s">
        <v>114</v>
      </c>
      <c r="B50" s="78" t="s">
        <v>115</v>
      </c>
      <c r="C50" s="85"/>
      <c r="D50" s="42"/>
      <c r="E50" s="30"/>
      <c r="F50" s="42"/>
      <c r="G50" s="124"/>
      <c r="H50" s="122"/>
      <c r="I50" s="23"/>
      <c r="J50" s="24"/>
      <c r="K50" s="39"/>
      <c r="L50" s="40"/>
    </row>
    <row r="51" spans="1:12">
      <c r="A51" s="79">
        <v>1</v>
      </c>
      <c r="B51" s="65" t="s">
        <v>116</v>
      </c>
      <c r="C51" s="79" t="s">
        <v>117</v>
      </c>
      <c r="D51" s="42">
        <v>81</v>
      </c>
      <c r="E51" s="30">
        <v>90</v>
      </c>
      <c r="F51" s="30">
        <v>87</v>
      </c>
      <c r="G51" s="124">
        <v>87</v>
      </c>
      <c r="H51" s="124">
        <v>90</v>
      </c>
      <c r="I51" s="23"/>
      <c r="J51" s="24"/>
      <c r="K51" s="39"/>
      <c r="L51" s="40"/>
    </row>
    <row r="52" spans="1:12" ht="22.5">
      <c r="A52" s="79"/>
      <c r="B52" s="82" t="s">
        <v>118</v>
      </c>
      <c r="C52" s="79" t="s">
        <v>117</v>
      </c>
      <c r="D52" s="42">
        <v>6</v>
      </c>
      <c r="E52" s="30">
        <v>3</v>
      </c>
      <c r="F52" s="30">
        <v>6</v>
      </c>
      <c r="G52" s="124">
        <v>6</v>
      </c>
      <c r="H52" s="124">
        <v>3</v>
      </c>
      <c r="I52" s="23"/>
      <c r="J52" s="24"/>
      <c r="K52" s="39"/>
      <c r="L52" s="40"/>
    </row>
    <row r="53" spans="1:12">
      <c r="A53" s="86"/>
      <c r="B53" s="82" t="s">
        <v>119</v>
      </c>
      <c r="C53" s="80" t="s">
        <v>77</v>
      </c>
      <c r="D53" s="42">
        <v>75</v>
      </c>
      <c r="E53" s="122">
        <f>90/108*100</f>
        <v>83.333333333333343</v>
      </c>
      <c r="F53" s="122">
        <v>80.555555555555557</v>
      </c>
      <c r="G53" s="125">
        <v>80.555555555555557</v>
      </c>
      <c r="H53" s="122">
        <v>83.333333333333343</v>
      </c>
      <c r="I53" s="23"/>
      <c r="J53" s="24"/>
      <c r="K53" s="39"/>
      <c r="L53" s="40"/>
    </row>
    <row r="54" spans="1:12" ht="22.5">
      <c r="A54" s="79">
        <v>2</v>
      </c>
      <c r="B54" s="65" t="s">
        <v>120</v>
      </c>
      <c r="C54" s="79" t="s">
        <v>121</v>
      </c>
      <c r="D54" s="42"/>
      <c r="E54" s="30">
        <v>29.99</v>
      </c>
      <c r="F54" s="30">
        <v>19.27</v>
      </c>
      <c r="G54" s="125">
        <v>18.64</v>
      </c>
      <c r="H54" s="122">
        <v>29.99</v>
      </c>
      <c r="I54" s="23"/>
      <c r="J54" s="24"/>
      <c r="K54" s="39"/>
      <c r="L54" s="40"/>
    </row>
    <row r="55" spans="1:12" ht="22.5">
      <c r="A55" s="79">
        <v>3</v>
      </c>
      <c r="B55" s="65" t="s">
        <v>122</v>
      </c>
      <c r="C55" s="79" t="s">
        <v>121</v>
      </c>
      <c r="D55" s="42"/>
      <c r="E55" s="30">
        <v>43.14</v>
      </c>
      <c r="F55" s="30">
        <v>21.67</v>
      </c>
      <c r="G55" s="125">
        <v>21.18</v>
      </c>
      <c r="H55" s="122">
        <v>43.14</v>
      </c>
      <c r="I55" s="23"/>
      <c r="J55" s="24"/>
      <c r="K55" s="39"/>
      <c r="L55" s="40"/>
    </row>
    <row r="56" spans="1:12" ht="22.5">
      <c r="A56" s="79">
        <v>4</v>
      </c>
      <c r="B56" s="65" t="s">
        <v>123</v>
      </c>
      <c r="C56" s="79" t="s">
        <v>124</v>
      </c>
      <c r="D56" s="42"/>
      <c r="E56" s="30">
        <v>19.989999999999998</v>
      </c>
      <c r="F56" s="30"/>
      <c r="G56" s="124"/>
      <c r="H56" s="122">
        <v>19.989999999999998</v>
      </c>
      <c r="I56" s="23"/>
      <c r="J56" s="24"/>
      <c r="K56" s="39"/>
      <c r="L56" s="40"/>
    </row>
    <row r="57" spans="1:12" ht="22.5">
      <c r="A57" s="79">
        <v>5</v>
      </c>
      <c r="B57" s="65" t="s">
        <v>125</v>
      </c>
      <c r="C57" s="79" t="s">
        <v>126</v>
      </c>
      <c r="D57" s="42">
        <v>0</v>
      </c>
      <c r="E57" s="30">
        <v>75</v>
      </c>
      <c r="F57" s="30">
        <v>0</v>
      </c>
      <c r="G57" s="124">
        <v>0</v>
      </c>
      <c r="H57" s="122">
        <v>75</v>
      </c>
      <c r="I57" s="23"/>
      <c r="J57" s="24"/>
      <c r="K57" s="39"/>
      <c r="L57" s="40"/>
    </row>
    <row r="58" spans="1:12" ht="22.5">
      <c r="A58" s="79">
        <v>6</v>
      </c>
      <c r="B58" s="65" t="s">
        <v>127</v>
      </c>
      <c r="C58" s="79" t="s">
        <v>77</v>
      </c>
      <c r="D58" s="42"/>
      <c r="E58" s="30">
        <v>94.2</v>
      </c>
      <c r="F58" s="30">
        <v>15.27</v>
      </c>
      <c r="G58" s="125">
        <v>23.5</v>
      </c>
      <c r="H58" s="122">
        <v>94.2</v>
      </c>
      <c r="I58" s="23"/>
      <c r="J58" s="24"/>
      <c r="K58" s="39"/>
      <c r="L58" s="40"/>
    </row>
    <row r="59" spans="1:12">
      <c r="A59" s="79">
        <v>7</v>
      </c>
      <c r="B59" s="65" t="s">
        <v>128</v>
      </c>
      <c r="C59" s="79" t="s">
        <v>77</v>
      </c>
      <c r="D59" s="42"/>
      <c r="E59" s="30">
        <v>62.8</v>
      </c>
      <c r="F59" s="30">
        <v>75.42</v>
      </c>
      <c r="G59" s="125">
        <v>76.349999999999994</v>
      </c>
      <c r="H59" s="122">
        <v>62.8</v>
      </c>
      <c r="I59" s="23"/>
      <c r="J59" s="24"/>
      <c r="K59" s="39"/>
      <c r="L59" s="40"/>
    </row>
    <row r="60" spans="1:12">
      <c r="A60" s="79">
        <v>8</v>
      </c>
      <c r="B60" s="65" t="s">
        <v>129</v>
      </c>
      <c r="C60" s="79" t="s">
        <v>77</v>
      </c>
      <c r="D60" s="42"/>
      <c r="E60" s="30">
        <v>68.5</v>
      </c>
      <c r="F60" s="30">
        <v>77.52</v>
      </c>
      <c r="G60" s="125">
        <v>82.05</v>
      </c>
      <c r="H60" s="122">
        <v>68.5</v>
      </c>
      <c r="I60" s="23"/>
      <c r="J60" s="24"/>
      <c r="K60" s="39"/>
      <c r="L60" s="40"/>
    </row>
    <row r="61" spans="1:12">
      <c r="A61" s="79">
        <v>9</v>
      </c>
      <c r="B61" s="65" t="s">
        <v>130</v>
      </c>
      <c r="C61" s="79"/>
      <c r="D61" s="42"/>
      <c r="E61" s="30"/>
      <c r="F61" s="30"/>
      <c r="G61" s="124"/>
      <c r="H61" s="122"/>
      <c r="I61" s="23"/>
      <c r="J61" s="24"/>
      <c r="K61" s="39"/>
      <c r="L61" s="40"/>
    </row>
    <row r="62" spans="1:12">
      <c r="A62" s="87"/>
      <c r="B62" s="88" t="s">
        <v>131</v>
      </c>
      <c r="C62" s="87" t="s">
        <v>79</v>
      </c>
      <c r="D62" s="119">
        <v>2.8100270411063725E-2</v>
      </c>
      <c r="E62" s="30">
        <v>2</v>
      </c>
      <c r="F62" s="30">
        <v>0</v>
      </c>
      <c r="G62" s="125">
        <v>4.2634650886161217E-2</v>
      </c>
      <c r="H62" s="122">
        <v>2</v>
      </c>
      <c r="I62" s="23"/>
      <c r="J62" s="24"/>
      <c r="K62" s="39"/>
      <c r="L62" s="40"/>
    </row>
    <row r="63" spans="1:12">
      <c r="A63" s="80"/>
      <c r="B63" s="106" t="s">
        <v>132</v>
      </c>
      <c r="C63" s="80" t="s">
        <v>133</v>
      </c>
      <c r="D63" s="119">
        <v>6.9169896396464559</v>
      </c>
      <c r="E63" s="30">
        <v>45.2</v>
      </c>
      <c r="F63" s="122">
        <v>1.9185592898772548</v>
      </c>
      <c r="G63" s="125">
        <v>6.8215441417857949</v>
      </c>
      <c r="H63" s="122">
        <v>45.2</v>
      </c>
      <c r="I63" s="23"/>
      <c r="J63" s="24"/>
      <c r="K63" s="39"/>
      <c r="L63" s="40"/>
    </row>
    <row r="64" spans="1:12">
      <c r="A64" s="80"/>
      <c r="B64" s="82" t="s">
        <v>134</v>
      </c>
      <c r="C64" s="80" t="s">
        <v>77</v>
      </c>
      <c r="D64" s="119">
        <v>0.37892133869688238</v>
      </c>
      <c r="E64" s="30">
        <v>0.4</v>
      </c>
      <c r="F64" s="30">
        <v>0.39</v>
      </c>
      <c r="G64" s="125">
        <v>0.38094060566785048</v>
      </c>
      <c r="H64" s="122">
        <v>0.4</v>
      </c>
      <c r="I64" s="23"/>
      <c r="J64" s="24"/>
      <c r="K64" s="39"/>
      <c r="L64" s="40"/>
    </row>
    <row r="65" spans="1:12">
      <c r="A65" s="79">
        <v>10</v>
      </c>
      <c r="B65" s="65" t="s">
        <v>135</v>
      </c>
      <c r="C65" s="66" t="s">
        <v>77</v>
      </c>
      <c r="D65" s="42">
        <v>93.86</v>
      </c>
      <c r="E65" s="30">
        <v>96.8</v>
      </c>
      <c r="F65" s="30"/>
      <c r="G65" s="124">
        <v>94</v>
      </c>
      <c r="H65" s="122">
        <v>96.8</v>
      </c>
      <c r="I65" s="23"/>
      <c r="J65" s="24"/>
      <c r="K65" s="39"/>
      <c r="L65" s="40"/>
    </row>
    <row r="66" spans="1:12">
      <c r="A66" s="77" t="s">
        <v>136</v>
      </c>
      <c r="B66" s="78" t="s">
        <v>137</v>
      </c>
      <c r="C66" s="77"/>
      <c r="D66" s="42"/>
      <c r="E66" s="30"/>
      <c r="F66" s="30"/>
      <c r="G66" s="124"/>
      <c r="H66" s="122"/>
      <c r="I66" s="23"/>
      <c r="J66" s="24"/>
      <c r="K66" s="39"/>
      <c r="L66" s="40"/>
    </row>
    <row r="67" spans="1:12">
      <c r="A67" s="77">
        <v>1</v>
      </c>
      <c r="B67" s="78" t="s">
        <v>138</v>
      </c>
      <c r="C67" s="77"/>
      <c r="D67" s="42"/>
      <c r="E67" s="30"/>
      <c r="F67" s="30"/>
      <c r="G67" s="124"/>
      <c r="H67" s="122"/>
      <c r="I67" s="23"/>
      <c r="J67" s="24"/>
      <c r="K67" s="39"/>
      <c r="L67" s="40"/>
    </row>
    <row r="68" spans="1:12">
      <c r="A68" s="79"/>
      <c r="B68" s="65" t="s">
        <v>139</v>
      </c>
      <c r="C68" s="79" t="s">
        <v>76</v>
      </c>
      <c r="D68" s="42">
        <v>56</v>
      </c>
      <c r="E68" s="30">
        <v>50</v>
      </c>
      <c r="F68" s="30">
        <v>56</v>
      </c>
      <c r="G68" s="124">
        <v>56</v>
      </c>
      <c r="H68" s="124">
        <v>50</v>
      </c>
      <c r="I68" s="23"/>
      <c r="J68" s="24"/>
      <c r="K68" s="39"/>
      <c r="L68" s="40"/>
    </row>
    <row r="69" spans="1:12">
      <c r="A69" s="79"/>
      <c r="B69" s="65" t="s">
        <v>140</v>
      </c>
      <c r="C69" s="79" t="s">
        <v>76</v>
      </c>
      <c r="D69" s="42">
        <v>120</v>
      </c>
      <c r="E69" s="30">
        <v>171</v>
      </c>
      <c r="F69" s="30">
        <v>120</v>
      </c>
      <c r="G69" s="124">
        <v>120</v>
      </c>
      <c r="H69" s="124">
        <v>171</v>
      </c>
      <c r="I69" s="23"/>
      <c r="J69" s="24"/>
      <c r="K69" s="39"/>
      <c r="L69" s="40"/>
    </row>
    <row r="70" spans="1:12">
      <c r="A70" s="79"/>
      <c r="B70" s="65" t="s">
        <v>141</v>
      </c>
      <c r="C70" s="79" t="s">
        <v>76</v>
      </c>
      <c r="D70" s="42">
        <v>82</v>
      </c>
      <c r="E70" s="30"/>
      <c r="F70" s="30">
        <v>82</v>
      </c>
      <c r="G70" s="124">
        <v>82</v>
      </c>
      <c r="H70" s="124"/>
      <c r="I70" s="23"/>
      <c r="J70" s="24"/>
      <c r="K70" s="39"/>
      <c r="L70" s="40"/>
    </row>
    <row r="71" spans="1:12">
      <c r="A71" s="79"/>
      <c r="B71" s="65" t="s">
        <v>142</v>
      </c>
      <c r="C71" s="79" t="s">
        <v>76</v>
      </c>
      <c r="D71" s="42">
        <v>12</v>
      </c>
      <c r="E71" s="30">
        <v>12</v>
      </c>
      <c r="F71" s="30">
        <v>12</v>
      </c>
      <c r="G71" s="124">
        <v>12</v>
      </c>
      <c r="H71" s="124">
        <v>12</v>
      </c>
      <c r="I71" s="23"/>
      <c r="J71" s="24"/>
      <c r="K71" s="39"/>
      <c r="L71" s="40"/>
    </row>
    <row r="72" spans="1:12">
      <c r="A72" s="77">
        <v>2</v>
      </c>
      <c r="B72" s="78" t="s">
        <v>143</v>
      </c>
      <c r="C72" s="77"/>
      <c r="D72" s="42"/>
      <c r="E72" s="30"/>
      <c r="F72" s="30"/>
      <c r="G72" s="124"/>
      <c r="H72" s="124"/>
      <c r="I72" s="23"/>
      <c r="J72" s="24"/>
      <c r="K72" s="39"/>
      <c r="L72" s="40"/>
    </row>
    <row r="73" spans="1:12">
      <c r="A73" s="79"/>
      <c r="B73" s="65" t="s">
        <v>139</v>
      </c>
      <c r="C73" s="79" t="s">
        <v>76</v>
      </c>
      <c r="D73" s="42">
        <v>10</v>
      </c>
      <c r="E73" s="30">
        <v>20</v>
      </c>
      <c r="F73" s="30">
        <v>0</v>
      </c>
      <c r="G73" s="124">
        <v>0</v>
      </c>
      <c r="H73" s="124">
        <v>20</v>
      </c>
      <c r="I73" s="23"/>
      <c r="J73" s="24"/>
      <c r="K73" s="39"/>
      <c r="L73" s="40"/>
    </row>
    <row r="74" spans="1:12">
      <c r="A74" s="79"/>
      <c r="B74" s="65" t="s">
        <v>140</v>
      </c>
      <c r="C74" s="79" t="s">
        <v>76</v>
      </c>
      <c r="D74" s="42">
        <v>80</v>
      </c>
      <c r="E74" s="30">
        <v>15</v>
      </c>
      <c r="F74" s="30">
        <v>60</v>
      </c>
      <c r="G74" s="124">
        <v>60</v>
      </c>
      <c r="H74" s="124">
        <v>60</v>
      </c>
      <c r="I74" s="23"/>
      <c r="J74" s="24"/>
      <c r="K74" s="39"/>
      <c r="L74" s="40"/>
    </row>
    <row r="75" spans="1:12" ht="33.75">
      <c r="A75" s="79"/>
      <c r="B75" s="65" t="s">
        <v>144</v>
      </c>
      <c r="C75" s="79" t="s">
        <v>76</v>
      </c>
      <c r="D75" s="42">
        <v>118</v>
      </c>
      <c r="E75" s="30">
        <v>0</v>
      </c>
      <c r="F75" s="30">
        <v>0</v>
      </c>
      <c r="G75" s="124">
        <v>0</v>
      </c>
      <c r="H75" s="124">
        <v>0</v>
      </c>
      <c r="I75" s="23"/>
      <c r="J75" s="24"/>
      <c r="K75" s="39"/>
      <c r="L75" s="40"/>
    </row>
    <row r="76" spans="1:12" ht="22.5">
      <c r="A76" s="51"/>
      <c r="B76" s="91" t="s">
        <v>145</v>
      </c>
      <c r="C76" s="92" t="s">
        <v>146</v>
      </c>
      <c r="D76" s="127">
        <v>2062</v>
      </c>
      <c r="E76" s="124">
        <v>2200</v>
      </c>
      <c r="F76" s="124">
        <v>2257</v>
      </c>
      <c r="G76" s="124">
        <v>2258</v>
      </c>
      <c r="H76" s="124">
        <v>2200</v>
      </c>
      <c r="I76" s="23"/>
      <c r="J76" s="24"/>
      <c r="K76" s="39"/>
      <c r="L76" s="40"/>
    </row>
    <row r="77" spans="1:12" ht="15.75">
      <c r="A77" s="481" t="s">
        <v>33</v>
      </c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</row>
  </sheetData>
  <mergeCells count="13">
    <mergeCell ref="A77:L77"/>
    <mergeCell ref="L5:L6"/>
    <mergeCell ref="B9:L9"/>
    <mergeCell ref="A1:B1"/>
    <mergeCell ref="A2:L2"/>
    <mergeCell ref="A3:L3"/>
    <mergeCell ref="A5:A6"/>
    <mergeCell ref="B5:B6"/>
    <mergeCell ref="C5:C6"/>
    <mergeCell ref="D5:D6"/>
    <mergeCell ref="E5:H5"/>
    <mergeCell ref="I5:J5"/>
    <mergeCell ref="K5:K6"/>
  </mergeCells>
  <pageMargins left="0.19685039370078741" right="0.19685039370078741" top="0.35433070866141736" bottom="0.47244094488188981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sqref="A1:B1"/>
    </sheetView>
  </sheetViews>
  <sheetFormatPr defaultRowHeight="12.75"/>
  <cols>
    <col min="1" max="1" width="4.5" style="7" customWidth="1"/>
    <col min="2" max="2" width="25.75" style="7" customWidth="1"/>
    <col min="3" max="3" width="9" style="7"/>
    <col min="4" max="4" width="9" style="48"/>
    <col min="5" max="8" width="9" style="49"/>
    <col min="9" max="9" width="10.75" style="50" customWidth="1"/>
    <col min="10" max="10" width="9" style="50"/>
    <col min="11" max="11" width="12.25" style="1" customWidth="1"/>
    <col min="12" max="12" width="10.5" style="7" customWidth="1"/>
    <col min="13" max="16384" width="9" style="7"/>
  </cols>
  <sheetData>
    <row r="1" spans="1:14" ht="15.75">
      <c r="A1" s="467" t="s">
        <v>34</v>
      </c>
      <c r="B1" s="467"/>
      <c r="C1" s="2"/>
      <c r="D1" s="3"/>
      <c r="E1" s="4"/>
      <c r="F1" s="4"/>
      <c r="G1" s="4"/>
      <c r="H1" s="4"/>
      <c r="I1" s="5"/>
      <c r="J1" s="5"/>
      <c r="K1" s="6"/>
      <c r="L1" s="2"/>
    </row>
    <row r="2" spans="1:14" ht="15.75">
      <c r="A2" s="475" t="s">
        <v>14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4" ht="15.75">
      <c r="A3" s="499" t="str">
        <f>'Báo cáo 3 tháng '!A3:L3</f>
        <v>(Kèm theo báo cáo số               /BC-SYT ngày        tháng 3 năm 2020 của Sở Y tế Lai Châu)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</row>
    <row r="4" spans="1:14">
      <c r="A4" s="500" t="s">
        <v>9</v>
      </c>
      <c r="B4" s="501" t="s">
        <v>10</v>
      </c>
      <c r="C4" s="501" t="s">
        <v>11</v>
      </c>
      <c r="D4" s="502" t="s">
        <v>25</v>
      </c>
      <c r="E4" s="502" t="s">
        <v>29</v>
      </c>
      <c r="F4" s="502"/>
      <c r="G4" s="502"/>
      <c r="H4" s="491" t="s">
        <v>28</v>
      </c>
      <c r="I4" s="502" t="s">
        <v>0</v>
      </c>
      <c r="J4" s="502"/>
      <c r="K4" s="503" t="s">
        <v>1</v>
      </c>
      <c r="L4" s="498" t="s">
        <v>2</v>
      </c>
    </row>
    <row r="5" spans="1:14" ht="38.25">
      <c r="A5" s="500"/>
      <c r="B5" s="501"/>
      <c r="C5" s="501"/>
      <c r="D5" s="502"/>
      <c r="E5" s="8" t="s">
        <v>3</v>
      </c>
      <c r="F5" s="8" t="s">
        <v>26</v>
      </c>
      <c r="G5" s="8" t="s">
        <v>4</v>
      </c>
      <c r="H5" s="492"/>
      <c r="I5" s="8" t="s">
        <v>30</v>
      </c>
      <c r="J5" s="8" t="s">
        <v>31</v>
      </c>
      <c r="K5" s="503"/>
      <c r="L5" s="498"/>
    </row>
    <row r="6" spans="1:14">
      <c r="A6" s="9" t="s">
        <v>5</v>
      </c>
      <c r="B6" s="9" t="s">
        <v>6</v>
      </c>
      <c r="C6" s="9" t="s">
        <v>7</v>
      </c>
      <c r="D6" s="10">
        <v>1</v>
      </c>
      <c r="E6" s="10">
        <v>2</v>
      </c>
      <c r="F6" s="10">
        <v>4</v>
      </c>
      <c r="G6" s="10">
        <v>6</v>
      </c>
      <c r="H6" s="10"/>
      <c r="I6" s="11">
        <v>7</v>
      </c>
      <c r="J6" s="11">
        <v>8</v>
      </c>
      <c r="K6" s="9">
        <v>9</v>
      </c>
      <c r="L6" s="9">
        <v>10</v>
      </c>
    </row>
    <row r="7" spans="1:14" ht="13.5">
      <c r="A7" s="12"/>
      <c r="B7" s="12"/>
      <c r="C7" s="12"/>
      <c r="D7" s="13"/>
      <c r="E7" s="13"/>
      <c r="F7" s="14"/>
      <c r="G7" s="14"/>
      <c r="H7" s="14"/>
      <c r="I7" s="15"/>
      <c r="J7" s="15"/>
      <c r="K7" s="16"/>
      <c r="L7" s="12"/>
      <c r="N7" s="17"/>
    </row>
    <row r="8" spans="1:14">
      <c r="A8" s="18" t="s">
        <v>12</v>
      </c>
      <c r="B8" s="484" t="s">
        <v>16</v>
      </c>
      <c r="C8" s="485"/>
      <c r="D8" s="485"/>
      <c r="E8" s="485"/>
      <c r="F8" s="485"/>
      <c r="G8" s="485"/>
      <c r="H8" s="485"/>
      <c r="I8" s="485"/>
      <c r="J8" s="485"/>
      <c r="K8" s="485"/>
      <c r="L8" s="486"/>
    </row>
    <row r="9" spans="1:14">
      <c r="A9" s="19">
        <v>1</v>
      </c>
      <c r="B9" s="20"/>
      <c r="C9" s="19"/>
      <c r="D9" s="21"/>
      <c r="E9" s="22"/>
      <c r="F9" s="21"/>
      <c r="G9" s="21"/>
      <c r="H9" s="21"/>
      <c r="I9" s="23"/>
      <c r="J9" s="24"/>
      <c r="K9" s="25"/>
      <c r="L9" s="26"/>
    </row>
    <row r="10" spans="1:14">
      <c r="A10" s="27">
        <v>2</v>
      </c>
      <c r="B10" s="28"/>
      <c r="C10" s="27"/>
      <c r="D10" s="29"/>
      <c r="E10" s="30"/>
      <c r="F10" s="29"/>
      <c r="G10" s="29"/>
      <c r="H10" s="29"/>
      <c r="I10" s="23"/>
      <c r="J10" s="24"/>
      <c r="K10" s="31"/>
      <c r="L10" s="32"/>
    </row>
    <row r="11" spans="1:14">
      <c r="A11" s="27" t="s">
        <v>17</v>
      </c>
      <c r="B11" s="28"/>
      <c r="C11" s="27"/>
      <c r="D11" s="29"/>
      <c r="E11" s="30"/>
      <c r="F11" s="29"/>
      <c r="G11" s="29"/>
      <c r="H11" s="29"/>
      <c r="I11" s="23"/>
      <c r="J11" s="24"/>
      <c r="K11" s="31"/>
      <c r="L11" s="32"/>
    </row>
    <row r="12" spans="1:14">
      <c r="A12" s="27"/>
      <c r="B12" s="28"/>
      <c r="C12" s="27"/>
      <c r="D12" s="29"/>
      <c r="E12" s="30"/>
      <c r="F12" s="29"/>
      <c r="G12" s="29"/>
      <c r="H12" s="29"/>
      <c r="I12" s="23"/>
      <c r="J12" s="24"/>
      <c r="K12" s="31"/>
      <c r="L12" s="32"/>
    </row>
    <row r="13" spans="1:14">
      <c r="A13" s="27"/>
      <c r="B13" s="28"/>
      <c r="C13" s="27"/>
      <c r="D13" s="29"/>
      <c r="E13" s="30"/>
      <c r="F13" s="29"/>
      <c r="G13" s="29"/>
      <c r="H13" s="29"/>
      <c r="I13" s="23"/>
      <c r="J13" s="24"/>
      <c r="K13" s="33"/>
      <c r="L13" s="34"/>
    </row>
    <row r="14" spans="1:14">
      <c r="A14" s="27"/>
      <c r="B14" s="28"/>
      <c r="C14" s="27"/>
      <c r="D14" s="29"/>
      <c r="E14" s="30"/>
      <c r="F14" s="29"/>
      <c r="G14" s="29"/>
      <c r="H14" s="29"/>
      <c r="I14" s="23"/>
      <c r="J14" s="24"/>
      <c r="K14" s="33"/>
      <c r="L14" s="34"/>
    </row>
    <row r="15" spans="1:14">
      <c r="A15" s="27"/>
      <c r="B15" s="28"/>
      <c r="C15" s="27"/>
      <c r="D15" s="29"/>
      <c r="E15" s="30"/>
      <c r="F15" s="29"/>
      <c r="G15" s="29"/>
      <c r="H15" s="29"/>
      <c r="I15" s="23"/>
      <c r="J15" s="24"/>
      <c r="K15" s="35"/>
      <c r="L15" s="36"/>
    </row>
    <row r="16" spans="1:14">
      <c r="A16" s="27"/>
      <c r="B16" s="28"/>
      <c r="C16" s="27"/>
      <c r="D16" s="29"/>
      <c r="E16" s="30"/>
      <c r="F16" s="29"/>
      <c r="G16" s="29"/>
      <c r="H16" s="29"/>
      <c r="I16" s="23"/>
      <c r="J16" s="24"/>
      <c r="K16" s="31"/>
      <c r="L16" s="32"/>
    </row>
    <row r="17" spans="1:12">
      <c r="A17" s="56" t="s">
        <v>13</v>
      </c>
      <c r="B17" s="57" t="s">
        <v>18</v>
      </c>
      <c r="C17" s="27"/>
      <c r="D17" s="30"/>
      <c r="E17" s="30"/>
      <c r="F17" s="30"/>
      <c r="G17" s="30"/>
      <c r="H17" s="30"/>
      <c r="I17" s="23"/>
      <c r="J17" s="24"/>
      <c r="K17" s="35"/>
      <c r="L17" s="36"/>
    </row>
    <row r="18" spans="1:12">
      <c r="A18" s="27">
        <v>1</v>
      </c>
      <c r="B18" s="28"/>
      <c r="C18" s="27"/>
      <c r="D18" s="37"/>
      <c r="E18" s="37"/>
      <c r="F18" s="37"/>
      <c r="G18" s="37"/>
      <c r="H18" s="37"/>
      <c r="I18" s="23"/>
      <c r="J18" s="24"/>
      <c r="K18" s="38"/>
      <c r="L18" s="27"/>
    </row>
    <row r="19" spans="1:12">
      <c r="A19" s="27">
        <v>2</v>
      </c>
      <c r="B19" s="28"/>
      <c r="C19" s="27"/>
      <c r="D19" s="30"/>
      <c r="E19" s="30"/>
      <c r="F19" s="30"/>
      <c r="G19" s="30"/>
      <c r="H19" s="30"/>
      <c r="I19" s="23"/>
      <c r="J19" s="24"/>
      <c r="K19" s="35"/>
      <c r="L19" s="36"/>
    </row>
    <row r="20" spans="1:12">
      <c r="A20" s="27" t="s">
        <v>19</v>
      </c>
      <c r="B20" s="28"/>
      <c r="C20" s="27"/>
      <c r="D20" s="30"/>
      <c r="E20" s="30"/>
      <c r="F20" s="30"/>
      <c r="G20" s="30"/>
      <c r="H20" s="30"/>
      <c r="I20" s="23"/>
      <c r="J20" s="24"/>
      <c r="K20" s="39"/>
      <c r="L20" s="27"/>
    </row>
    <row r="21" spans="1:12">
      <c r="A21" s="40"/>
      <c r="B21" s="41"/>
      <c r="C21" s="40"/>
      <c r="D21" s="42"/>
      <c r="E21" s="42"/>
      <c r="F21" s="42"/>
      <c r="G21" s="42"/>
      <c r="H21" s="42"/>
      <c r="I21" s="23"/>
      <c r="J21" s="24"/>
      <c r="K21" s="39"/>
      <c r="L21" s="40"/>
    </row>
    <row r="22" spans="1:12">
      <c r="A22" s="40"/>
      <c r="B22" s="41"/>
      <c r="C22" s="40"/>
      <c r="D22" s="42"/>
      <c r="E22" s="42"/>
      <c r="F22" s="42"/>
      <c r="G22" s="42"/>
      <c r="H22" s="42"/>
      <c r="I22" s="23"/>
      <c r="J22" s="24"/>
      <c r="K22" s="39"/>
      <c r="L22" s="40"/>
    </row>
    <row r="23" spans="1:12">
      <c r="A23" s="40"/>
      <c r="B23" s="41"/>
      <c r="C23" s="40"/>
      <c r="D23" s="42"/>
      <c r="E23" s="42"/>
      <c r="F23" s="42"/>
      <c r="G23" s="42"/>
      <c r="H23" s="42"/>
      <c r="I23" s="23"/>
      <c r="J23" s="24"/>
      <c r="K23" s="39"/>
      <c r="L23" s="40"/>
    </row>
    <row r="24" spans="1:12">
      <c r="A24" s="27"/>
      <c r="B24" s="28"/>
      <c r="C24" s="27"/>
      <c r="D24" s="43"/>
      <c r="E24" s="43"/>
      <c r="F24" s="43"/>
      <c r="G24" s="43"/>
      <c r="H24" s="43"/>
      <c r="I24" s="23"/>
      <c r="J24" s="24"/>
      <c r="K24" s="39"/>
      <c r="L24" s="27"/>
    </row>
    <row r="25" spans="1:12">
      <c r="A25" s="27"/>
      <c r="B25" s="28"/>
      <c r="C25" s="27"/>
      <c r="D25" s="30"/>
      <c r="E25" s="30"/>
      <c r="F25" s="30"/>
      <c r="G25" s="30"/>
      <c r="H25" s="30"/>
      <c r="I25" s="23"/>
      <c r="J25" s="24"/>
      <c r="K25" s="39"/>
      <c r="L25" s="27"/>
    </row>
    <row r="26" spans="1:12" s="46" customFormat="1">
      <c r="A26" s="40"/>
      <c r="B26" s="41"/>
      <c r="C26" s="40"/>
      <c r="D26" s="44"/>
      <c r="E26" s="44"/>
      <c r="F26" s="44"/>
      <c r="G26" s="44"/>
      <c r="H26" s="44"/>
      <c r="I26" s="23"/>
      <c r="J26" s="24"/>
      <c r="K26" s="45"/>
      <c r="L26" s="40"/>
    </row>
    <row r="27" spans="1:12" s="46" customFormat="1">
      <c r="A27" s="51"/>
      <c r="B27" s="52"/>
      <c r="C27" s="51"/>
      <c r="D27" s="47"/>
      <c r="E27" s="47"/>
      <c r="F27" s="47"/>
      <c r="G27" s="47"/>
      <c r="H27" s="47"/>
      <c r="I27" s="53"/>
      <c r="J27" s="54"/>
      <c r="K27" s="55"/>
      <c r="L27" s="51"/>
    </row>
    <row r="28" spans="1:12" ht="15.75">
      <c r="A28" s="481" t="str">
        <f>'Báo cáo 3 tháng '!A77:L77</f>
        <v xml:space="preserve">Ghi chú: báo cáo các chỉ tiêu dựa trên Quyết định của Sở Y tế giao hàng năm 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</row>
  </sheetData>
  <mergeCells count="14">
    <mergeCell ref="H4:H5"/>
    <mergeCell ref="B8:L8"/>
    <mergeCell ref="A28:L28"/>
    <mergeCell ref="L4:L5"/>
    <mergeCell ref="A1:B1"/>
    <mergeCell ref="A2:L2"/>
    <mergeCell ref="A3:L3"/>
    <mergeCell ref="A4:A5"/>
    <mergeCell ref="B4:B5"/>
    <mergeCell ref="C4:C5"/>
    <mergeCell ref="D4:D5"/>
    <mergeCell ref="E4:G4"/>
    <mergeCell ref="I4:J4"/>
    <mergeCell ref="K4:K5"/>
  </mergeCells>
  <pageMargins left="0.2" right="0.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A3" sqref="A3:I3"/>
    </sheetView>
  </sheetViews>
  <sheetFormatPr defaultRowHeight="12.75"/>
  <cols>
    <col min="1" max="1" width="4.5" style="7" customWidth="1"/>
    <col min="2" max="2" width="23.25" style="7" customWidth="1"/>
    <col min="3" max="3" width="9" style="7"/>
    <col min="4" max="4" width="9" style="48"/>
    <col min="5" max="7" width="9" style="49"/>
    <col min="8" max="8" width="12.25" style="1" customWidth="1"/>
    <col min="9" max="9" width="10.5" style="7" customWidth="1"/>
    <col min="10" max="16384" width="9" style="7"/>
  </cols>
  <sheetData>
    <row r="1" spans="1:10" ht="15.75">
      <c r="A1" s="467" t="s">
        <v>35</v>
      </c>
      <c r="B1" s="467"/>
      <c r="C1" s="2"/>
      <c r="D1" s="3"/>
      <c r="E1" s="4"/>
      <c r="F1" s="4"/>
      <c r="G1" s="4"/>
      <c r="H1" s="6"/>
      <c r="I1" s="2"/>
    </row>
    <row r="2" spans="1:10" ht="15.75">
      <c r="A2" s="475" t="s">
        <v>15</v>
      </c>
      <c r="B2" s="475"/>
      <c r="C2" s="475"/>
      <c r="D2" s="475"/>
      <c r="E2" s="475"/>
      <c r="F2" s="475"/>
      <c r="G2" s="475"/>
      <c r="H2" s="475"/>
      <c r="I2" s="475"/>
    </row>
    <row r="3" spans="1:10" ht="15.75">
      <c r="A3" s="499" t="str">
        <f>'Báo cáo 3 tháng '!A3:L3</f>
        <v>(Kèm theo báo cáo số               /BC-SYT ngày        tháng 3 năm 2020 của Sở Y tế Lai Châu)</v>
      </c>
      <c r="B3" s="499"/>
      <c r="C3" s="499"/>
      <c r="D3" s="499"/>
      <c r="E3" s="499"/>
      <c r="F3" s="499"/>
      <c r="G3" s="499"/>
      <c r="H3" s="499"/>
      <c r="I3" s="499"/>
    </row>
    <row r="4" spans="1:10">
      <c r="A4" s="500" t="s">
        <v>9</v>
      </c>
      <c r="B4" s="501" t="s">
        <v>10</v>
      </c>
      <c r="C4" s="501" t="s">
        <v>11</v>
      </c>
      <c r="D4" s="502" t="s">
        <v>25</v>
      </c>
      <c r="E4" s="502" t="s">
        <v>27</v>
      </c>
      <c r="F4" s="502"/>
      <c r="G4" s="8"/>
      <c r="H4" s="503" t="s">
        <v>1</v>
      </c>
      <c r="I4" s="498" t="s">
        <v>2</v>
      </c>
    </row>
    <row r="5" spans="1:10" ht="25.5">
      <c r="A5" s="500"/>
      <c r="B5" s="501"/>
      <c r="C5" s="501"/>
      <c r="D5" s="502"/>
      <c r="E5" s="8" t="s">
        <v>3</v>
      </c>
      <c r="F5" s="8" t="s">
        <v>4</v>
      </c>
      <c r="G5" s="8" t="s">
        <v>32</v>
      </c>
      <c r="H5" s="503"/>
      <c r="I5" s="498"/>
    </row>
    <row r="6" spans="1:10">
      <c r="A6" s="9" t="s">
        <v>5</v>
      </c>
      <c r="B6" s="9" t="s">
        <v>6</v>
      </c>
      <c r="C6" s="9" t="s">
        <v>7</v>
      </c>
      <c r="D6" s="10">
        <v>1</v>
      </c>
      <c r="E6" s="10">
        <v>2</v>
      </c>
      <c r="F6" s="10">
        <v>6</v>
      </c>
      <c r="G6" s="10"/>
      <c r="H6" s="9">
        <v>9</v>
      </c>
      <c r="I6" s="9">
        <v>10</v>
      </c>
    </row>
    <row r="7" spans="1:10">
      <c r="A7" s="12"/>
      <c r="B7" s="12"/>
      <c r="C7" s="12"/>
      <c r="D7" s="13"/>
      <c r="E7" s="13"/>
      <c r="F7" s="14"/>
      <c r="G7" s="14"/>
      <c r="H7" s="16"/>
      <c r="I7" s="12"/>
      <c r="J7" s="17"/>
    </row>
    <row r="8" spans="1:10">
      <c r="A8" s="18" t="s">
        <v>12</v>
      </c>
      <c r="B8" s="484" t="s">
        <v>16</v>
      </c>
      <c r="C8" s="485"/>
      <c r="D8" s="485"/>
      <c r="E8" s="485"/>
      <c r="F8" s="485"/>
      <c r="G8" s="485"/>
      <c r="H8" s="485"/>
      <c r="I8" s="486"/>
    </row>
    <row r="9" spans="1:10">
      <c r="A9" s="19">
        <v>1</v>
      </c>
      <c r="B9" s="20"/>
      <c r="C9" s="19"/>
      <c r="D9" s="21"/>
      <c r="E9" s="22"/>
      <c r="F9" s="21"/>
      <c r="G9" s="21"/>
      <c r="H9" s="24"/>
      <c r="I9" s="25"/>
    </row>
    <row r="10" spans="1:10">
      <c r="A10" s="27">
        <v>2</v>
      </c>
      <c r="B10" s="28"/>
      <c r="C10" s="27"/>
      <c r="D10" s="29"/>
      <c r="E10" s="30"/>
      <c r="F10" s="29"/>
      <c r="G10" s="29"/>
      <c r="H10" s="24"/>
      <c r="I10" s="31"/>
    </row>
    <row r="11" spans="1:10">
      <c r="A11" s="27" t="s">
        <v>17</v>
      </c>
      <c r="B11" s="28"/>
      <c r="C11" s="27"/>
      <c r="D11" s="29"/>
      <c r="E11" s="30"/>
      <c r="F11" s="29"/>
      <c r="G11" s="29"/>
      <c r="H11" s="24"/>
      <c r="I11" s="31"/>
    </row>
    <row r="12" spans="1:10">
      <c r="A12" s="27"/>
      <c r="B12" s="28"/>
      <c r="C12" s="27"/>
      <c r="D12" s="29"/>
      <c r="E12" s="30"/>
      <c r="F12" s="29"/>
      <c r="G12" s="29"/>
      <c r="H12" s="24"/>
      <c r="I12" s="31"/>
    </row>
    <row r="13" spans="1:10">
      <c r="A13" s="27"/>
      <c r="B13" s="28"/>
      <c r="C13" s="27"/>
      <c r="D13" s="29"/>
      <c r="E13" s="30"/>
      <c r="F13" s="29"/>
      <c r="G13" s="29"/>
      <c r="H13" s="24"/>
      <c r="I13" s="33"/>
    </row>
    <row r="14" spans="1:10">
      <c r="A14" s="27"/>
      <c r="B14" s="28"/>
      <c r="C14" s="27"/>
      <c r="D14" s="29"/>
      <c r="E14" s="30"/>
      <c r="F14" s="29"/>
      <c r="G14" s="29"/>
      <c r="H14" s="24"/>
      <c r="I14" s="33"/>
    </row>
    <row r="15" spans="1:10">
      <c r="A15" s="27"/>
      <c r="B15" s="28"/>
      <c r="C15" s="27"/>
      <c r="D15" s="29"/>
      <c r="E15" s="30"/>
      <c r="F15" s="29"/>
      <c r="G15" s="29"/>
      <c r="H15" s="24"/>
      <c r="I15" s="35"/>
    </row>
    <row r="16" spans="1:10">
      <c r="A16" s="27"/>
      <c r="B16" s="28"/>
      <c r="C16" s="27"/>
      <c r="D16" s="29"/>
      <c r="E16" s="30"/>
      <c r="F16" s="29"/>
      <c r="G16" s="29"/>
      <c r="H16" s="24"/>
      <c r="I16" s="31"/>
    </row>
    <row r="17" spans="1:9">
      <c r="A17" s="56" t="s">
        <v>13</v>
      </c>
      <c r="B17" s="57" t="s">
        <v>18</v>
      </c>
      <c r="C17" s="27"/>
      <c r="D17" s="30"/>
      <c r="E17" s="30"/>
      <c r="F17" s="30"/>
      <c r="G17" s="30"/>
      <c r="H17" s="24"/>
      <c r="I17" s="35"/>
    </row>
    <row r="18" spans="1:9">
      <c r="A18" s="27">
        <v>1</v>
      </c>
      <c r="B18" s="28"/>
      <c r="C18" s="27"/>
      <c r="D18" s="37"/>
      <c r="E18" s="37"/>
      <c r="F18" s="37"/>
      <c r="G18" s="37"/>
      <c r="H18" s="24"/>
      <c r="I18" s="38"/>
    </row>
    <row r="19" spans="1:9">
      <c r="A19" s="27">
        <v>2</v>
      </c>
      <c r="B19" s="28"/>
      <c r="C19" s="27"/>
      <c r="D19" s="30"/>
      <c r="E19" s="30"/>
      <c r="F19" s="30"/>
      <c r="G19" s="30"/>
      <c r="H19" s="24"/>
      <c r="I19" s="35"/>
    </row>
    <row r="20" spans="1:9">
      <c r="A20" s="27" t="s">
        <v>19</v>
      </c>
      <c r="B20" s="28"/>
      <c r="C20" s="27"/>
      <c r="D20" s="30"/>
      <c r="E20" s="30"/>
      <c r="F20" s="30"/>
      <c r="G20" s="30"/>
      <c r="H20" s="24"/>
      <c r="I20" s="39"/>
    </row>
    <row r="21" spans="1:9">
      <c r="A21" s="40"/>
      <c r="B21" s="41"/>
      <c r="C21" s="40"/>
      <c r="D21" s="42"/>
      <c r="E21" s="42"/>
      <c r="F21" s="42"/>
      <c r="G21" s="42"/>
      <c r="H21" s="24"/>
      <c r="I21" s="39"/>
    </row>
    <row r="22" spans="1:9">
      <c r="A22" s="40"/>
      <c r="B22" s="41"/>
      <c r="C22" s="40"/>
      <c r="D22" s="42"/>
      <c r="E22" s="42"/>
      <c r="F22" s="42"/>
      <c r="G22" s="42"/>
      <c r="H22" s="24"/>
      <c r="I22" s="39"/>
    </row>
    <row r="23" spans="1:9">
      <c r="A23" s="40"/>
      <c r="B23" s="41"/>
      <c r="C23" s="40"/>
      <c r="D23" s="42"/>
      <c r="E23" s="42"/>
      <c r="F23" s="42"/>
      <c r="G23" s="42"/>
      <c r="H23" s="24"/>
      <c r="I23" s="39"/>
    </row>
    <row r="24" spans="1:9">
      <c r="A24" s="27"/>
      <c r="B24" s="28"/>
      <c r="C24" s="27"/>
      <c r="D24" s="43"/>
      <c r="E24" s="43"/>
      <c r="F24" s="43"/>
      <c r="G24" s="43"/>
      <c r="H24" s="24"/>
      <c r="I24" s="39"/>
    </row>
    <row r="25" spans="1:9">
      <c r="A25" s="27"/>
      <c r="B25" s="28"/>
      <c r="C25" s="27"/>
      <c r="D25" s="30"/>
      <c r="E25" s="30"/>
      <c r="F25" s="30"/>
      <c r="G25" s="30"/>
      <c r="H25" s="24"/>
      <c r="I25" s="39"/>
    </row>
    <row r="26" spans="1:9" s="46" customFormat="1">
      <c r="A26" s="40"/>
      <c r="B26" s="41"/>
      <c r="C26" s="40"/>
      <c r="D26" s="44"/>
      <c r="E26" s="44"/>
      <c r="F26" s="44"/>
      <c r="G26" s="44"/>
      <c r="H26" s="24"/>
      <c r="I26" s="45"/>
    </row>
    <row r="27" spans="1:9" s="46" customFormat="1">
      <c r="A27" s="51"/>
      <c r="B27" s="52"/>
      <c r="C27" s="51"/>
      <c r="D27" s="47"/>
      <c r="E27" s="47"/>
      <c r="F27" s="47"/>
      <c r="G27" s="47"/>
      <c r="H27" s="54"/>
      <c r="I27" s="55"/>
    </row>
    <row r="28" spans="1:9" ht="15.75">
      <c r="A28" s="481" t="str">
        <f>'Báo cáo 3 tháng '!A77:L77</f>
        <v xml:space="preserve">Ghi chú: báo cáo các chỉ tiêu dựa trên Quyết định của Sở Y tế giao hàng năm </v>
      </c>
      <c r="B28" s="481"/>
      <c r="C28" s="481"/>
      <c r="D28" s="481"/>
      <c r="E28" s="481"/>
      <c r="F28" s="481"/>
      <c r="G28" s="481"/>
      <c r="H28" s="481"/>
      <c r="I28" s="481"/>
    </row>
  </sheetData>
  <mergeCells count="12">
    <mergeCell ref="A3:I3"/>
    <mergeCell ref="A28:I28"/>
    <mergeCell ref="B8:I8"/>
    <mergeCell ref="A1:B1"/>
    <mergeCell ref="A2:I2"/>
    <mergeCell ref="A4:A5"/>
    <mergeCell ref="B4:B5"/>
    <mergeCell ref="C4:C5"/>
    <mergeCell ref="D4:D5"/>
    <mergeCell ref="E4:F4"/>
    <mergeCell ref="H4:H5"/>
    <mergeCell ref="I4:I5"/>
  </mergeCells>
  <pageMargins left="0.2" right="0.2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activeCell="N9" sqref="N9"/>
    </sheetView>
  </sheetViews>
  <sheetFormatPr defaultRowHeight="12.75"/>
  <cols>
    <col min="1" max="1" width="4.5" style="7" customWidth="1"/>
    <col min="2" max="2" width="25.75" style="7" customWidth="1"/>
    <col min="3" max="3" width="9" style="7"/>
    <col min="4" max="4" width="9.625" style="48" bestFit="1" customWidth="1"/>
    <col min="5" max="5" width="9.375" style="49" customWidth="1"/>
    <col min="6" max="6" width="9.75" style="49" bestFit="1" customWidth="1"/>
    <col min="7" max="7" width="10.5" style="49" bestFit="1" customWidth="1"/>
    <col min="8" max="8" width="9.875" style="49" bestFit="1" customWidth="1"/>
    <col min="9" max="9" width="10.75" style="50" customWidth="1"/>
    <col min="10" max="10" width="9" style="50"/>
    <col min="11" max="11" width="12.25" style="1" customWidth="1"/>
    <col min="12" max="12" width="10.5" style="7" customWidth="1"/>
    <col min="13" max="16384" width="9" style="7"/>
  </cols>
  <sheetData>
    <row r="1" spans="1:14" ht="15.75">
      <c r="A1" s="467" t="s">
        <v>8</v>
      </c>
      <c r="B1" s="467"/>
      <c r="C1" s="2"/>
      <c r="D1" s="3"/>
      <c r="E1" s="4"/>
      <c r="F1" s="4"/>
      <c r="G1" s="4"/>
      <c r="H1" s="4"/>
      <c r="I1" s="5"/>
      <c r="J1" s="5"/>
      <c r="K1" s="6"/>
      <c r="L1" s="2"/>
    </row>
    <row r="2" spans="1:14" ht="15.75" customHeight="1">
      <c r="A2" s="475" t="s">
        <v>36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4" ht="15.75">
      <c r="A3" s="499" t="str">
        <f>'Báo cáo tháng'!A3:AM3</f>
        <v>(Kèm theo báo cáo số               /BC-SYT ngày        tháng 5 năm 2020 của Sở Y tế Lai Châu)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</row>
    <row r="4" spans="1:14" ht="12.75" customHeight="1">
      <c r="A4" s="487" t="s">
        <v>9</v>
      </c>
      <c r="B4" s="489" t="s">
        <v>10</v>
      </c>
      <c r="C4" s="489" t="s">
        <v>11</v>
      </c>
      <c r="D4" s="491" t="s">
        <v>20</v>
      </c>
      <c r="E4" s="493" t="s">
        <v>153</v>
      </c>
      <c r="F4" s="494"/>
      <c r="G4" s="494"/>
      <c r="H4" s="495"/>
      <c r="I4" s="493" t="s">
        <v>0</v>
      </c>
      <c r="J4" s="495"/>
      <c r="K4" s="496" t="s">
        <v>1</v>
      </c>
      <c r="L4" s="482" t="s">
        <v>2</v>
      </c>
    </row>
    <row r="5" spans="1:14" ht="63.75">
      <c r="A5" s="488"/>
      <c r="B5" s="490"/>
      <c r="C5" s="490"/>
      <c r="D5" s="492"/>
      <c r="E5" s="121" t="s">
        <v>3</v>
      </c>
      <c r="F5" s="121" t="s">
        <v>21</v>
      </c>
      <c r="G5" s="121" t="s">
        <v>22</v>
      </c>
      <c r="H5" s="121" t="s">
        <v>4</v>
      </c>
      <c r="I5" s="121" t="s">
        <v>23</v>
      </c>
      <c r="J5" s="121" t="s">
        <v>24</v>
      </c>
      <c r="K5" s="497"/>
      <c r="L5" s="483"/>
    </row>
    <row r="6" spans="1:14">
      <c r="A6" s="9" t="s">
        <v>5</v>
      </c>
      <c r="B6" s="9" t="s">
        <v>6</v>
      </c>
      <c r="C6" s="9" t="s">
        <v>7</v>
      </c>
      <c r="D6" s="10">
        <v>1</v>
      </c>
      <c r="E6" s="10">
        <v>2</v>
      </c>
      <c r="F6" s="10">
        <v>4</v>
      </c>
      <c r="G6" s="10">
        <v>5</v>
      </c>
      <c r="H6" s="10">
        <v>6</v>
      </c>
      <c r="I6" s="11">
        <v>7</v>
      </c>
      <c r="J6" s="11">
        <v>8</v>
      </c>
      <c r="K6" s="9">
        <v>9</v>
      </c>
      <c r="L6" s="9">
        <v>10</v>
      </c>
    </row>
    <row r="7" spans="1:14" ht="13.5">
      <c r="A7" s="12"/>
      <c r="B7" s="12"/>
      <c r="C7" s="12"/>
      <c r="D7" s="13"/>
      <c r="E7" s="13"/>
      <c r="F7" s="14"/>
      <c r="G7" s="14"/>
      <c r="H7" s="14"/>
      <c r="I7" s="15"/>
      <c r="J7" s="15"/>
      <c r="K7" s="16"/>
      <c r="L7" s="12"/>
      <c r="N7" s="17"/>
    </row>
    <row r="8" spans="1:14">
      <c r="A8" s="18" t="s">
        <v>12</v>
      </c>
      <c r="B8" s="484" t="s">
        <v>16</v>
      </c>
      <c r="C8" s="485"/>
      <c r="D8" s="485"/>
      <c r="E8" s="485"/>
      <c r="F8" s="485"/>
      <c r="G8" s="485"/>
      <c r="H8" s="485"/>
      <c r="I8" s="485"/>
      <c r="J8" s="485"/>
      <c r="K8" s="485"/>
      <c r="L8" s="486"/>
    </row>
    <row r="9" spans="1:14">
      <c r="A9" s="61">
        <v>1</v>
      </c>
      <c r="B9" s="93" t="s">
        <v>63</v>
      </c>
      <c r="C9" s="19"/>
      <c r="D9" s="21"/>
      <c r="E9" s="22"/>
      <c r="F9" s="21"/>
      <c r="G9" s="21"/>
      <c r="H9" s="21"/>
      <c r="I9" s="23"/>
      <c r="J9" s="24"/>
      <c r="K9" s="25"/>
      <c r="L9" s="26"/>
    </row>
    <row r="10" spans="1:14">
      <c r="A10" s="120"/>
      <c r="B10" s="65" t="s">
        <v>64</v>
      </c>
      <c r="C10" s="66" t="s">
        <v>76</v>
      </c>
      <c r="D10" s="109">
        <f>D12+D13</f>
        <v>462629</v>
      </c>
      <c r="E10" s="124">
        <f>E12+E13</f>
        <v>469102</v>
      </c>
      <c r="F10" s="109"/>
      <c r="G10" s="131"/>
      <c r="H10" s="131">
        <v>469102</v>
      </c>
      <c r="I10" s="23"/>
      <c r="J10" s="24"/>
      <c r="K10" s="31"/>
      <c r="L10" s="32"/>
    </row>
    <row r="11" spans="1:14">
      <c r="A11" s="120"/>
      <c r="B11" s="65" t="s">
        <v>65</v>
      </c>
      <c r="C11" s="66"/>
      <c r="D11" s="99"/>
      <c r="E11" s="30"/>
      <c r="F11" s="109"/>
      <c r="G11" s="131"/>
      <c r="H11" s="131"/>
      <c r="I11" s="23"/>
      <c r="J11" s="24"/>
      <c r="K11" s="31"/>
      <c r="L11" s="32"/>
    </row>
    <row r="12" spans="1:14">
      <c r="A12" s="120"/>
      <c r="B12" s="65" t="s">
        <v>66</v>
      </c>
      <c r="C12" s="66" t="s">
        <v>76</v>
      </c>
      <c r="D12" s="99">
        <v>82594</v>
      </c>
      <c r="E12" s="124">
        <v>84161</v>
      </c>
      <c r="F12" s="109"/>
      <c r="G12" s="131"/>
      <c r="H12" s="131">
        <v>84161</v>
      </c>
      <c r="I12" s="23"/>
      <c r="J12" s="24"/>
      <c r="K12" s="31"/>
      <c r="L12" s="32"/>
    </row>
    <row r="13" spans="1:14">
      <c r="A13" s="120"/>
      <c r="B13" s="65" t="s">
        <v>67</v>
      </c>
      <c r="C13" s="66" t="s">
        <v>76</v>
      </c>
      <c r="D13" s="99">
        <v>380035</v>
      </c>
      <c r="E13" s="124">
        <v>384941</v>
      </c>
      <c r="F13" s="109"/>
      <c r="G13" s="131"/>
      <c r="H13" s="131">
        <v>384941</v>
      </c>
      <c r="I13" s="23"/>
      <c r="J13" s="24"/>
      <c r="K13" s="33"/>
      <c r="L13" s="34"/>
    </row>
    <row r="14" spans="1:14">
      <c r="A14" s="120"/>
      <c r="B14" s="65" t="s">
        <v>68</v>
      </c>
      <c r="C14" s="66" t="s">
        <v>76</v>
      </c>
      <c r="D14" s="99">
        <v>390371</v>
      </c>
      <c r="E14" s="124">
        <v>397043</v>
      </c>
      <c r="F14" s="109"/>
      <c r="G14" s="131"/>
      <c r="H14" s="131">
        <v>397043</v>
      </c>
      <c r="I14" s="23"/>
      <c r="J14" s="24"/>
      <c r="K14" s="33"/>
      <c r="L14" s="34"/>
    </row>
    <row r="15" spans="1:14">
      <c r="A15" s="120"/>
      <c r="B15" s="65" t="s">
        <v>69</v>
      </c>
      <c r="C15" s="66" t="s">
        <v>77</v>
      </c>
      <c r="D15" s="27">
        <v>2.04</v>
      </c>
      <c r="E15" s="125">
        <v>1.45</v>
      </c>
      <c r="F15" s="29"/>
      <c r="G15" s="132"/>
      <c r="H15" s="129">
        <v>1.45</v>
      </c>
      <c r="I15" s="23"/>
      <c r="J15" s="24"/>
      <c r="K15" s="35"/>
      <c r="L15" s="36"/>
    </row>
    <row r="16" spans="1:14">
      <c r="A16" s="120"/>
      <c r="B16" s="65" t="s">
        <v>70</v>
      </c>
      <c r="C16" s="66" t="s">
        <v>78</v>
      </c>
      <c r="D16" s="27">
        <v>0.86</v>
      </c>
      <c r="E16" s="125">
        <v>0.5</v>
      </c>
      <c r="F16" s="29"/>
      <c r="G16" s="132"/>
      <c r="H16" s="129">
        <v>0.5</v>
      </c>
      <c r="I16" s="23"/>
      <c r="J16" s="24"/>
      <c r="K16" s="31"/>
      <c r="L16" s="32"/>
    </row>
    <row r="17" spans="1:12">
      <c r="A17" s="120"/>
      <c r="B17" s="65" t="s">
        <v>71</v>
      </c>
      <c r="C17" s="66" t="s">
        <v>79</v>
      </c>
      <c r="D17" s="27">
        <v>15.75</v>
      </c>
      <c r="E17" s="125">
        <v>15.45</v>
      </c>
      <c r="F17" s="30"/>
      <c r="G17" s="125"/>
      <c r="H17" s="122">
        <v>15.45</v>
      </c>
      <c r="I17" s="23"/>
      <c r="J17" s="24"/>
      <c r="K17" s="35"/>
      <c r="L17" s="36"/>
    </row>
    <row r="18" spans="1:12" ht="22.5">
      <c r="A18" s="120"/>
      <c r="B18" s="65" t="s">
        <v>72</v>
      </c>
      <c r="C18" s="66" t="s">
        <v>77</v>
      </c>
      <c r="D18" s="117">
        <v>109.06</v>
      </c>
      <c r="E18" s="126">
        <v>109.6</v>
      </c>
      <c r="F18" s="37"/>
      <c r="G18" s="37"/>
      <c r="H18" s="130">
        <v>109.6</v>
      </c>
      <c r="I18" s="23"/>
      <c r="J18" s="24"/>
      <c r="K18" s="38"/>
      <c r="L18" s="27"/>
    </row>
    <row r="19" spans="1:12">
      <c r="A19" s="120">
        <v>2</v>
      </c>
      <c r="B19" s="64" t="s">
        <v>73</v>
      </c>
      <c r="C19" s="66"/>
      <c r="D19" s="117"/>
      <c r="E19" s="124"/>
      <c r="F19" s="30"/>
      <c r="G19" s="124"/>
      <c r="H19" s="122"/>
      <c r="I19" s="23"/>
      <c r="J19" s="24"/>
      <c r="K19" s="35"/>
      <c r="L19" s="36"/>
    </row>
    <row r="20" spans="1:12" ht="22.5">
      <c r="A20" s="120"/>
      <c r="B20" s="65" t="s">
        <v>74</v>
      </c>
      <c r="C20" s="66" t="s">
        <v>77</v>
      </c>
      <c r="D20" s="117">
        <v>70.19</v>
      </c>
      <c r="E20" s="123">
        <v>70</v>
      </c>
      <c r="F20" s="30"/>
      <c r="G20" s="123"/>
      <c r="H20" s="122">
        <v>70</v>
      </c>
      <c r="I20" s="23"/>
      <c r="J20" s="24"/>
      <c r="K20" s="39"/>
      <c r="L20" s="27"/>
    </row>
    <row r="21" spans="1:12" ht="22.5">
      <c r="A21" s="68"/>
      <c r="B21" s="69" t="s">
        <v>75</v>
      </c>
      <c r="C21" s="70" t="s">
        <v>77</v>
      </c>
      <c r="D21" s="71">
        <v>16.09</v>
      </c>
      <c r="E21" s="123">
        <v>15.5</v>
      </c>
      <c r="F21" s="42"/>
      <c r="G21" s="128"/>
      <c r="H21" s="119">
        <v>15.5</v>
      </c>
      <c r="I21" s="23"/>
      <c r="J21" s="24"/>
      <c r="K21" s="39"/>
      <c r="L21" s="40"/>
    </row>
    <row r="22" spans="1:12">
      <c r="A22" s="74" t="s">
        <v>6</v>
      </c>
      <c r="B22" s="75" t="s">
        <v>18</v>
      </c>
      <c r="C22" s="40"/>
      <c r="D22" s="42"/>
      <c r="E22" s="30"/>
      <c r="F22" s="42"/>
      <c r="G22" s="42"/>
      <c r="H22" s="42"/>
      <c r="I22" s="23"/>
      <c r="J22" s="24"/>
      <c r="K22" s="39"/>
      <c r="L22" s="40"/>
    </row>
    <row r="23" spans="1:12">
      <c r="A23" s="89" t="s">
        <v>12</v>
      </c>
      <c r="B23" s="90" t="s">
        <v>80</v>
      </c>
      <c r="C23" s="40"/>
      <c r="D23" s="42"/>
      <c r="E23" s="30"/>
      <c r="F23" s="42"/>
      <c r="G23" s="42"/>
      <c r="H23" s="42"/>
      <c r="I23" s="23"/>
      <c r="J23" s="24"/>
      <c r="K23" s="39"/>
      <c r="L23" s="40"/>
    </row>
    <row r="24" spans="1:12">
      <c r="A24" s="79">
        <v>1</v>
      </c>
      <c r="B24" s="65" t="s">
        <v>81</v>
      </c>
      <c r="C24" s="79" t="s">
        <v>82</v>
      </c>
      <c r="D24" s="117">
        <v>122</v>
      </c>
      <c r="E24" s="30">
        <v>122</v>
      </c>
      <c r="F24" s="30"/>
      <c r="G24" s="124"/>
      <c r="H24" s="30">
        <v>122</v>
      </c>
      <c r="I24" s="23"/>
      <c r="J24" s="24"/>
      <c r="K24" s="39"/>
      <c r="L24" s="40"/>
    </row>
    <row r="25" spans="1:12">
      <c r="A25" s="80"/>
      <c r="B25" s="81" t="s">
        <v>83</v>
      </c>
      <c r="C25" s="80" t="s">
        <v>84</v>
      </c>
      <c r="D25" s="117">
        <v>1</v>
      </c>
      <c r="E25" s="30">
        <v>1</v>
      </c>
      <c r="F25" s="30"/>
      <c r="G25" s="124"/>
      <c r="H25" s="30">
        <v>1</v>
      </c>
      <c r="I25" s="23"/>
      <c r="J25" s="24"/>
      <c r="K25" s="39"/>
      <c r="L25" s="40"/>
    </row>
    <row r="26" spans="1:12">
      <c r="A26" s="80"/>
      <c r="B26" s="81" t="s">
        <v>85</v>
      </c>
      <c r="C26" s="80" t="s">
        <v>84</v>
      </c>
      <c r="D26" s="117">
        <v>2</v>
      </c>
      <c r="E26" s="30">
        <v>2</v>
      </c>
      <c r="F26" s="30"/>
      <c r="G26" s="124"/>
      <c r="H26" s="30">
        <v>2</v>
      </c>
      <c r="I26" s="23"/>
      <c r="J26" s="24"/>
      <c r="K26" s="39"/>
      <c r="L26" s="40"/>
    </row>
    <row r="27" spans="1:12">
      <c r="A27" s="80"/>
      <c r="B27" s="81" t="s">
        <v>149</v>
      </c>
      <c r="C27" s="80" t="s">
        <v>87</v>
      </c>
      <c r="D27" s="117">
        <v>1</v>
      </c>
      <c r="E27" s="30">
        <v>1</v>
      </c>
      <c r="F27" s="30"/>
      <c r="G27" s="124"/>
      <c r="H27" s="30">
        <v>1</v>
      </c>
      <c r="I27" s="23"/>
      <c r="J27" s="24"/>
      <c r="K27" s="39"/>
      <c r="L27" s="40"/>
    </row>
    <row r="28" spans="1:12">
      <c r="A28" s="80"/>
      <c r="B28" s="81" t="s">
        <v>86</v>
      </c>
      <c r="C28" s="80" t="s">
        <v>87</v>
      </c>
      <c r="D28" s="117">
        <v>8</v>
      </c>
      <c r="E28" s="30">
        <v>8</v>
      </c>
      <c r="F28" s="30"/>
      <c r="G28" s="124"/>
      <c r="H28" s="30">
        <v>8</v>
      </c>
      <c r="I28" s="23"/>
      <c r="J28" s="24"/>
      <c r="K28" s="39"/>
      <c r="L28" s="40"/>
    </row>
    <row r="29" spans="1:12">
      <c r="A29" s="80"/>
      <c r="B29" s="98" t="s">
        <v>151</v>
      </c>
      <c r="C29" s="80" t="s">
        <v>87</v>
      </c>
      <c r="D29" s="117">
        <v>1</v>
      </c>
      <c r="E29" s="30">
        <v>1</v>
      </c>
      <c r="F29" s="30"/>
      <c r="G29" s="124"/>
      <c r="H29" s="30">
        <v>1</v>
      </c>
      <c r="I29" s="23"/>
      <c r="J29" s="24"/>
      <c r="K29" s="39"/>
      <c r="L29" s="40"/>
    </row>
    <row r="30" spans="1:12">
      <c r="A30" s="80"/>
      <c r="B30" s="82" t="s">
        <v>88</v>
      </c>
      <c r="C30" s="80" t="s">
        <v>89</v>
      </c>
      <c r="D30" s="117">
        <v>4</v>
      </c>
      <c r="E30" s="30">
        <v>4</v>
      </c>
      <c r="F30" s="30"/>
      <c r="G30" s="124"/>
      <c r="H30" s="30">
        <v>4</v>
      </c>
      <c r="I30" s="23"/>
      <c r="J30" s="24"/>
      <c r="K30" s="39"/>
      <c r="L30" s="40"/>
    </row>
    <row r="31" spans="1:12">
      <c r="A31" s="80"/>
      <c r="B31" s="82" t="s">
        <v>90</v>
      </c>
      <c r="C31" s="80" t="s">
        <v>91</v>
      </c>
      <c r="D31" s="117">
        <v>105</v>
      </c>
      <c r="E31" s="30">
        <v>105</v>
      </c>
      <c r="F31" s="30"/>
      <c r="G31" s="124"/>
      <c r="H31" s="30">
        <v>105</v>
      </c>
      <c r="I31" s="23"/>
      <c r="J31" s="24"/>
      <c r="K31" s="39"/>
      <c r="L31" s="40"/>
    </row>
    <row r="32" spans="1:12">
      <c r="A32" s="79">
        <v>2</v>
      </c>
      <c r="B32" s="65" t="s">
        <v>92</v>
      </c>
      <c r="C32" s="79" t="s">
        <v>82</v>
      </c>
      <c r="D32" s="117">
        <v>2</v>
      </c>
      <c r="E32" s="30">
        <v>2</v>
      </c>
      <c r="F32" s="30"/>
      <c r="G32" s="124"/>
      <c r="H32" s="30">
        <v>2</v>
      </c>
      <c r="I32" s="23"/>
      <c r="J32" s="24"/>
      <c r="K32" s="39"/>
      <c r="L32" s="40"/>
    </row>
    <row r="33" spans="1:12">
      <c r="A33" s="79">
        <v>3</v>
      </c>
      <c r="B33" s="83" t="s">
        <v>93</v>
      </c>
      <c r="C33" s="79" t="s">
        <v>94</v>
      </c>
      <c r="D33" s="117">
        <v>1450</v>
      </c>
      <c r="E33" s="30">
        <f>E34+E35</f>
        <v>1580</v>
      </c>
      <c r="F33" s="30"/>
      <c r="G33" s="124"/>
      <c r="H33" s="30">
        <v>1580</v>
      </c>
      <c r="I33" s="23"/>
      <c r="J33" s="24"/>
      <c r="K33" s="39"/>
      <c r="L33" s="40"/>
    </row>
    <row r="34" spans="1:12">
      <c r="A34" s="79"/>
      <c r="B34" s="83" t="s">
        <v>95</v>
      </c>
      <c r="C34" s="79" t="s">
        <v>94</v>
      </c>
      <c r="D34" s="117">
        <v>590</v>
      </c>
      <c r="E34" s="30">
        <v>660</v>
      </c>
      <c r="F34" s="30"/>
      <c r="G34" s="124"/>
      <c r="H34" s="30">
        <v>660</v>
      </c>
      <c r="I34" s="23"/>
      <c r="J34" s="24"/>
      <c r="K34" s="39"/>
      <c r="L34" s="40"/>
    </row>
    <row r="35" spans="1:12">
      <c r="A35" s="79"/>
      <c r="B35" s="83" t="s">
        <v>96</v>
      </c>
      <c r="C35" s="79" t="s">
        <v>94</v>
      </c>
      <c r="D35" s="117">
        <v>860</v>
      </c>
      <c r="E35" s="30">
        <f>E36+E37</f>
        <v>920</v>
      </c>
      <c r="F35" s="30"/>
      <c r="G35" s="124"/>
      <c r="H35" s="30">
        <v>920</v>
      </c>
      <c r="I35" s="23"/>
      <c r="J35" s="24"/>
      <c r="K35" s="39"/>
      <c r="L35" s="40"/>
    </row>
    <row r="36" spans="1:12">
      <c r="A36" s="80"/>
      <c r="B36" s="81" t="s">
        <v>97</v>
      </c>
      <c r="C36" s="79" t="s">
        <v>94</v>
      </c>
      <c r="D36" s="117">
        <v>800</v>
      </c>
      <c r="E36" s="30">
        <v>860</v>
      </c>
      <c r="F36" s="30"/>
      <c r="G36" s="124"/>
      <c r="H36" s="30">
        <v>860</v>
      </c>
      <c r="I36" s="23"/>
      <c r="J36" s="24"/>
      <c r="K36" s="39"/>
      <c r="L36" s="40"/>
    </row>
    <row r="37" spans="1:12">
      <c r="A37" s="80"/>
      <c r="B37" s="95" t="s">
        <v>150</v>
      </c>
      <c r="C37" s="80" t="s">
        <v>94</v>
      </c>
      <c r="D37" s="117">
        <v>60</v>
      </c>
      <c r="E37" s="30">
        <v>60</v>
      </c>
      <c r="F37" s="30"/>
      <c r="G37" s="124"/>
      <c r="H37" s="30">
        <v>60</v>
      </c>
      <c r="I37" s="23"/>
      <c r="J37" s="24"/>
      <c r="K37" s="39"/>
      <c r="L37" s="40"/>
    </row>
    <row r="38" spans="1:12" ht="22.5">
      <c r="A38" s="79">
        <v>4</v>
      </c>
      <c r="B38" s="65" t="s">
        <v>98</v>
      </c>
      <c r="C38" s="79" t="s">
        <v>94</v>
      </c>
      <c r="D38" s="117">
        <v>31.68</v>
      </c>
      <c r="E38" s="122">
        <f>E33/E10*10000</f>
        <v>33.68137420006736</v>
      </c>
      <c r="F38" s="122"/>
      <c r="G38" s="122"/>
      <c r="H38" s="122">
        <v>33.68137420006736</v>
      </c>
      <c r="I38" s="23"/>
      <c r="J38" s="24"/>
      <c r="K38" s="39"/>
      <c r="L38" s="40"/>
    </row>
    <row r="39" spans="1:12" ht="22.5">
      <c r="A39" s="80"/>
      <c r="B39" s="84" t="s">
        <v>99</v>
      </c>
      <c r="C39" s="80" t="s">
        <v>100</v>
      </c>
      <c r="D39" s="117">
        <v>31.68</v>
      </c>
      <c r="E39" s="122">
        <f>E33/E10*10000</f>
        <v>33.68137420006736</v>
      </c>
      <c r="F39" s="122"/>
      <c r="G39" s="122"/>
      <c r="H39" s="122">
        <v>33.68137420006736</v>
      </c>
      <c r="I39" s="23"/>
      <c r="J39" s="24"/>
      <c r="K39" s="39"/>
      <c r="L39" s="40"/>
    </row>
    <row r="40" spans="1:12">
      <c r="A40" s="77" t="s">
        <v>101</v>
      </c>
      <c r="B40" s="78" t="s">
        <v>102</v>
      </c>
      <c r="C40" s="77"/>
      <c r="D40" s="101"/>
      <c r="E40" s="30"/>
      <c r="F40" s="42"/>
      <c r="G40" s="124"/>
      <c r="H40" s="42"/>
      <c r="I40" s="23"/>
      <c r="J40" s="24"/>
      <c r="K40" s="39"/>
      <c r="L40" s="40"/>
    </row>
    <row r="41" spans="1:12">
      <c r="A41" s="79">
        <v>1</v>
      </c>
      <c r="B41" s="65" t="s">
        <v>103</v>
      </c>
      <c r="C41" s="102" t="s">
        <v>76</v>
      </c>
      <c r="D41" s="108">
        <v>2842</v>
      </c>
      <c r="E41" s="30">
        <v>3085</v>
      </c>
      <c r="F41" s="124"/>
      <c r="G41" s="124"/>
      <c r="H41" s="124">
        <v>3085</v>
      </c>
      <c r="I41" s="23"/>
      <c r="J41" s="24"/>
      <c r="K41" s="39"/>
      <c r="L41" s="40"/>
    </row>
    <row r="42" spans="1:12">
      <c r="A42" s="79"/>
      <c r="B42" s="65" t="s">
        <v>104</v>
      </c>
      <c r="C42" s="102"/>
      <c r="D42" s="28"/>
      <c r="E42" s="30"/>
      <c r="F42" s="124"/>
      <c r="G42" s="124"/>
      <c r="H42" s="124"/>
      <c r="I42" s="23"/>
      <c r="J42" s="24"/>
      <c r="K42" s="39"/>
      <c r="L42" s="40"/>
    </row>
    <row r="43" spans="1:12">
      <c r="A43" s="79" t="s">
        <v>105</v>
      </c>
      <c r="B43" s="65" t="s">
        <v>106</v>
      </c>
      <c r="C43" s="102" t="s">
        <v>76</v>
      </c>
      <c r="D43" s="28">
        <v>419</v>
      </c>
      <c r="E43" s="30">
        <v>568</v>
      </c>
      <c r="F43" s="124"/>
      <c r="G43" s="124"/>
      <c r="H43" s="124">
        <v>568</v>
      </c>
      <c r="I43" s="23"/>
      <c r="J43" s="24"/>
      <c r="K43" s="39"/>
      <c r="L43" s="40"/>
    </row>
    <row r="44" spans="1:12">
      <c r="A44" s="80"/>
      <c r="B44" s="82" t="s">
        <v>107</v>
      </c>
      <c r="C44" s="103" t="s">
        <v>108</v>
      </c>
      <c r="D44" s="105">
        <v>9.0569333094120772</v>
      </c>
      <c r="E44" s="122">
        <f>E43/E10*10000</f>
        <v>12.108240851669786</v>
      </c>
      <c r="F44" s="122"/>
      <c r="G44" s="125"/>
      <c r="H44" s="122">
        <v>12.108240851669786</v>
      </c>
      <c r="I44" s="23"/>
      <c r="J44" s="24"/>
      <c r="K44" s="39"/>
      <c r="L44" s="40"/>
    </row>
    <row r="45" spans="1:12">
      <c r="A45" s="79" t="s">
        <v>109</v>
      </c>
      <c r="B45" s="65" t="s">
        <v>110</v>
      </c>
      <c r="C45" s="102" t="s">
        <v>76</v>
      </c>
      <c r="D45" s="28">
        <v>52</v>
      </c>
      <c r="E45" s="30">
        <v>65</v>
      </c>
      <c r="F45" s="124"/>
      <c r="G45" s="124"/>
      <c r="H45" s="124">
        <v>65</v>
      </c>
      <c r="I45" s="23"/>
      <c r="J45" s="24"/>
      <c r="K45" s="39"/>
      <c r="L45" s="40"/>
    </row>
    <row r="46" spans="1:12">
      <c r="A46" s="80"/>
      <c r="B46" s="82" t="s">
        <v>111</v>
      </c>
      <c r="C46" s="103" t="s">
        <v>108</v>
      </c>
      <c r="D46" s="105">
        <v>1.1240108164425491</v>
      </c>
      <c r="E46" s="122">
        <f>E45/E10*10000</f>
        <v>1.3856261538002397</v>
      </c>
      <c r="F46" s="122"/>
      <c r="G46" s="122"/>
      <c r="H46" s="122">
        <v>1.3856261538002397</v>
      </c>
      <c r="I46" s="23"/>
      <c r="J46" s="24"/>
      <c r="K46" s="39"/>
      <c r="L46" s="40"/>
    </row>
    <row r="47" spans="1:12" ht="22.5">
      <c r="A47" s="79">
        <v>3</v>
      </c>
      <c r="B47" s="65" t="s">
        <v>112</v>
      </c>
      <c r="C47" s="102" t="s">
        <v>77</v>
      </c>
      <c r="D47" s="105">
        <v>17.592592592592592</v>
      </c>
      <c r="E47" s="122">
        <f>20/108*100</f>
        <v>18.518518518518519</v>
      </c>
      <c r="F47" s="122"/>
      <c r="G47" s="122"/>
      <c r="H47" s="122">
        <v>18.518518518518519</v>
      </c>
      <c r="I47" s="23"/>
      <c r="J47" s="24"/>
      <c r="K47" s="39"/>
      <c r="L47" s="40"/>
    </row>
    <row r="48" spans="1:12" ht="22.5">
      <c r="A48" s="79">
        <v>5</v>
      </c>
      <c r="B48" s="65" t="s">
        <v>113</v>
      </c>
      <c r="C48" s="79" t="s">
        <v>77</v>
      </c>
      <c r="D48" s="104">
        <v>95.909090909090907</v>
      </c>
      <c r="E48" s="122">
        <f>922/954*100</f>
        <v>96.645702306079656</v>
      </c>
      <c r="F48" s="122"/>
      <c r="G48" s="125"/>
      <c r="H48" s="122">
        <v>96.645702306079656</v>
      </c>
      <c r="I48" s="23"/>
      <c r="J48" s="24"/>
      <c r="K48" s="39"/>
      <c r="L48" s="40"/>
    </row>
    <row r="49" spans="1:12">
      <c r="A49" s="77" t="s">
        <v>114</v>
      </c>
      <c r="B49" s="78" t="s">
        <v>115</v>
      </c>
      <c r="C49" s="85"/>
      <c r="D49" s="42"/>
      <c r="E49" s="30"/>
      <c r="F49" s="42"/>
      <c r="G49" s="124"/>
      <c r="H49" s="122"/>
      <c r="I49" s="23"/>
      <c r="J49" s="24"/>
      <c r="K49" s="39"/>
      <c r="L49" s="40"/>
    </row>
    <row r="50" spans="1:12">
      <c r="A50" s="79">
        <v>1</v>
      </c>
      <c r="B50" s="65" t="s">
        <v>116</v>
      </c>
      <c r="C50" s="79" t="s">
        <v>117</v>
      </c>
      <c r="D50" s="42">
        <v>81</v>
      </c>
      <c r="E50" s="30">
        <v>90</v>
      </c>
      <c r="F50" s="30"/>
      <c r="G50" s="124"/>
      <c r="H50" s="124">
        <v>90</v>
      </c>
      <c r="I50" s="23"/>
      <c r="J50" s="24"/>
      <c r="K50" s="39"/>
      <c r="L50" s="40"/>
    </row>
    <row r="51" spans="1:12" ht="22.5">
      <c r="A51" s="79"/>
      <c r="B51" s="82" t="s">
        <v>118</v>
      </c>
      <c r="C51" s="79" t="s">
        <v>117</v>
      </c>
      <c r="D51" s="42">
        <v>6</v>
      </c>
      <c r="E51" s="30">
        <v>3</v>
      </c>
      <c r="F51" s="30"/>
      <c r="G51" s="124"/>
      <c r="H51" s="124">
        <v>3</v>
      </c>
      <c r="I51" s="23"/>
      <c r="J51" s="24"/>
      <c r="K51" s="39"/>
      <c r="L51" s="40"/>
    </row>
    <row r="52" spans="1:12">
      <c r="A52" s="86"/>
      <c r="B52" s="82" t="s">
        <v>119</v>
      </c>
      <c r="C52" s="80" t="s">
        <v>77</v>
      </c>
      <c r="D52" s="42">
        <v>75</v>
      </c>
      <c r="E52" s="122">
        <f>90/108*100</f>
        <v>83.333333333333343</v>
      </c>
      <c r="F52" s="122"/>
      <c r="G52" s="125"/>
      <c r="H52" s="122">
        <v>83.333333333333343</v>
      </c>
      <c r="I52" s="23"/>
      <c r="J52" s="24"/>
      <c r="K52" s="39"/>
      <c r="L52" s="40"/>
    </row>
    <row r="53" spans="1:12" ht="22.5">
      <c r="A53" s="79">
        <v>2</v>
      </c>
      <c r="B53" s="65" t="s">
        <v>120</v>
      </c>
      <c r="C53" s="79" t="s">
        <v>121</v>
      </c>
      <c r="D53" s="42"/>
      <c r="E53" s="30">
        <v>29.99</v>
      </c>
      <c r="F53" s="30"/>
      <c r="G53" s="125"/>
      <c r="H53" s="122">
        <v>29.99</v>
      </c>
      <c r="I53" s="23"/>
      <c r="J53" s="24"/>
      <c r="K53" s="39"/>
      <c r="L53" s="40"/>
    </row>
    <row r="54" spans="1:12" ht="22.5">
      <c r="A54" s="79">
        <v>3</v>
      </c>
      <c r="B54" s="65" t="s">
        <v>122</v>
      </c>
      <c r="C54" s="79" t="s">
        <v>121</v>
      </c>
      <c r="D54" s="42"/>
      <c r="E54" s="30">
        <v>43.14</v>
      </c>
      <c r="F54" s="30"/>
      <c r="G54" s="125"/>
      <c r="H54" s="122">
        <v>43.14</v>
      </c>
      <c r="I54" s="23"/>
      <c r="J54" s="24"/>
      <c r="K54" s="39"/>
      <c r="L54" s="40"/>
    </row>
    <row r="55" spans="1:12" ht="22.5">
      <c r="A55" s="79">
        <v>4</v>
      </c>
      <c r="B55" s="65" t="s">
        <v>123</v>
      </c>
      <c r="C55" s="79" t="s">
        <v>124</v>
      </c>
      <c r="D55" s="42"/>
      <c r="E55" s="30">
        <v>19.989999999999998</v>
      </c>
      <c r="F55" s="30"/>
      <c r="G55" s="124"/>
      <c r="H55" s="122">
        <v>19.989999999999998</v>
      </c>
      <c r="I55" s="23"/>
      <c r="J55" s="24"/>
      <c r="K55" s="39"/>
      <c r="L55" s="40"/>
    </row>
    <row r="56" spans="1:12" ht="22.5">
      <c r="A56" s="79">
        <v>5</v>
      </c>
      <c r="B56" s="65" t="s">
        <v>125</v>
      </c>
      <c r="C56" s="79" t="s">
        <v>126</v>
      </c>
      <c r="D56" s="42">
        <v>0</v>
      </c>
      <c r="E56" s="30">
        <v>75</v>
      </c>
      <c r="F56" s="30"/>
      <c r="G56" s="124"/>
      <c r="H56" s="122">
        <v>75</v>
      </c>
      <c r="I56" s="23"/>
      <c r="J56" s="24"/>
      <c r="K56" s="39"/>
      <c r="L56" s="40"/>
    </row>
    <row r="57" spans="1:12" ht="22.5">
      <c r="A57" s="79">
        <v>6</v>
      </c>
      <c r="B57" s="65" t="s">
        <v>127</v>
      </c>
      <c r="C57" s="79" t="s">
        <v>77</v>
      </c>
      <c r="D57" s="42"/>
      <c r="E57" s="30">
        <v>94.2</v>
      </c>
      <c r="F57" s="30"/>
      <c r="G57" s="125"/>
      <c r="H57" s="122">
        <v>94.2</v>
      </c>
      <c r="I57" s="23"/>
      <c r="J57" s="24"/>
      <c r="K57" s="39"/>
      <c r="L57" s="40"/>
    </row>
    <row r="58" spans="1:12">
      <c r="A58" s="79">
        <v>7</v>
      </c>
      <c r="B58" s="65" t="s">
        <v>128</v>
      </c>
      <c r="C58" s="79" t="s">
        <v>77</v>
      </c>
      <c r="D58" s="42"/>
      <c r="E58" s="30">
        <v>62.8</v>
      </c>
      <c r="F58" s="30"/>
      <c r="G58" s="125"/>
      <c r="H58" s="122">
        <v>62.8</v>
      </c>
      <c r="I58" s="23"/>
      <c r="J58" s="24"/>
      <c r="K58" s="39"/>
      <c r="L58" s="40"/>
    </row>
    <row r="59" spans="1:12">
      <c r="A59" s="79">
        <v>8</v>
      </c>
      <c r="B59" s="65" t="s">
        <v>129</v>
      </c>
      <c r="C59" s="79" t="s">
        <v>77</v>
      </c>
      <c r="D59" s="42"/>
      <c r="E59" s="30">
        <v>68.5</v>
      </c>
      <c r="F59" s="30"/>
      <c r="G59" s="125"/>
      <c r="H59" s="122">
        <v>68.5</v>
      </c>
      <c r="I59" s="23"/>
      <c r="J59" s="24"/>
      <c r="K59" s="39"/>
      <c r="L59" s="40"/>
    </row>
    <row r="60" spans="1:12">
      <c r="A60" s="79">
        <v>9</v>
      </c>
      <c r="B60" s="65" t="s">
        <v>130</v>
      </c>
      <c r="C60" s="79"/>
      <c r="D60" s="42"/>
      <c r="E60" s="30"/>
      <c r="F60" s="30"/>
      <c r="G60" s="124"/>
      <c r="H60" s="122"/>
      <c r="I60" s="23"/>
      <c r="J60" s="24"/>
      <c r="K60" s="39"/>
      <c r="L60" s="40"/>
    </row>
    <row r="61" spans="1:12">
      <c r="A61" s="87"/>
      <c r="B61" s="88" t="s">
        <v>131</v>
      </c>
      <c r="C61" s="87" t="s">
        <v>79</v>
      </c>
      <c r="D61" s="119">
        <v>2.8100270411063725E-2</v>
      </c>
      <c r="E61" s="30">
        <v>2</v>
      </c>
      <c r="F61" s="30"/>
      <c r="G61" s="125"/>
      <c r="H61" s="122">
        <v>2</v>
      </c>
      <c r="I61" s="23"/>
      <c r="J61" s="24"/>
      <c r="K61" s="39"/>
      <c r="L61" s="40"/>
    </row>
    <row r="62" spans="1:12">
      <c r="A62" s="80"/>
      <c r="B62" s="106" t="s">
        <v>132</v>
      </c>
      <c r="C62" s="80" t="s">
        <v>133</v>
      </c>
      <c r="D62" s="119">
        <v>6.9169896396464559</v>
      </c>
      <c r="E62" s="30">
        <v>45.2</v>
      </c>
      <c r="F62" s="122"/>
      <c r="G62" s="125"/>
      <c r="H62" s="122">
        <v>45.2</v>
      </c>
      <c r="I62" s="23"/>
      <c r="J62" s="24"/>
      <c r="K62" s="39"/>
      <c r="L62" s="40"/>
    </row>
    <row r="63" spans="1:12">
      <c r="A63" s="80"/>
      <c r="B63" s="82" t="s">
        <v>134</v>
      </c>
      <c r="C63" s="80" t="s">
        <v>77</v>
      </c>
      <c r="D63" s="119">
        <v>0.37892133869688238</v>
      </c>
      <c r="E63" s="30">
        <v>0.4</v>
      </c>
      <c r="F63" s="30"/>
      <c r="G63" s="125"/>
      <c r="H63" s="122">
        <v>0.4</v>
      </c>
      <c r="I63" s="23"/>
      <c r="J63" s="24"/>
      <c r="K63" s="39"/>
      <c r="L63" s="40"/>
    </row>
    <row r="64" spans="1:12">
      <c r="A64" s="79">
        <v>10</v>
      </c>
      <c r="B64" s="65" t="s">
        <v>135</v>
      </c>
      <c r="C64" s="66" t="s">
        <v>77</v>
      </c>
      <c r="D64" s="42"/>
      <c r="E64" s="30">
        <v>96.8</v>
      </c>
      <c r="F64" s="30"/>
      <c r="G64" s="124"/>
      <c r="H64" s="122">
        <v>96.8</v>
      </c>
      <c r="I64" s="23"/>
      <c r="J64" s="24"/>
      <c r="K64" s="39"/>
      <c r="L64" s="40"/>
    </row>
    <row r="65" spans="1:12">
      <c r="A65" s="77" t="s">
        <v>136</v>
      </c>
      <c r="B65" s="78" t="s">
        <v>137</v>
      </c>
      <c r="C65" s="77"/>
      <c r="D65" s="42"/>
      <c r="E65" s="30"/>
      <c r="F65" s="30"/>
      <c r="G65" s="124"/>
      <c r="H65" s="122"/>
      <c r="I65" s="23"/>
      <c r="J65" s="24"/>
      <c r="K65" s="39"/>
      <c r="L65" s="40"/>
    </row>
    <row r="66" spans="1:12">
      <c r="A66" s="77">
        <v>1</v>
      </c>
      <c r="B66" s="78" t="s">
        <v>138</v>
      </c>
      <c r="C66" s="77"/>
      <c r="D66" s="42"/>
      <c r="E66" s="30"/>
      <c r="F66" s="30"/>
      <c r="G66" s="124"/>
      <c r="H66" s="122"/>
      <c r="I66" s="23"/>
      <c r="J66" s="24"/>
      <c r="K66" s="39"/>
      <c r="L66" s="40"/>
    </row>
    <row r="67" spans="1:12">
      <c r="A67" s="79"/>
      <c r="B67" s="65" t="s">
        <v>139</v>
      </c>
      <c r="C67" s="79" t="s">
        <v>76</v>
      </c>
      <c r="D67" s="42">
        <v>56</v>
      </c>
      <c r="E67" s="30">
        <v>50</v>
      </c>
      <c r="F67" s="30"/>
      <c r="G67" s="124"/>
      <c r="H67" s="124">
        <v>50</v>
      </c>
      <c r="I67" s="23"/>
      <c r="J67" s="24"/>
      <c r="K67" s="39"/>
      <c r="L67" s="40"/>
    </row>
    <row r="68" spans="1:12">
      <c r="A68" s="79"/>
      <c r="B68" s="65" t="s">
        <v>140</v>
      </c>
      <c r="C68" s="79" t="s">
        <v>76</v>
      </c>
      <c r="D68" s="42">
        <v>120</v>
      </c>
      <c r="E68" s="30">
        <v>171</v>
      </c>
      <c r="F68" s="30"/>
      <c r="G68" s="124"/>
      <c r="H68" s="124">
        <v>171</v>
      </c>
      <c r="I68" s="23"/>
      <c r="J68" s="24"/>
      <c r="K68" s="39"/>
      <c r="L68" s="40"/>
    </row>
    <row r="69" spans="1:12">
      <c r="A69" s="79"/>
      <c r="B69" s="65" t="s">
        <v>141</v>
      </c>
      <c r="C69" s="79" t="s">
        <v>76</v>
      </c>
      <c r="D69" s="42">
        <v>82</v>
      </c>
      <c r="E69" s="30"/>
      <c r="F69" s="30"/>
      <c r="G69" s="124"/>
      <c r="H69" s="124"/>
      <c r="I69" s="23"/>
      <c r="J69" s="24"/>
      <c r="K69" s="39"/>
      <c r="L69" s="40"/>
    </row>
    <row r="70" spans="1:12">
      <c r="A70" s="79"/>
      <c r="B70" s="65" t="s">
        <v>142</v>
      </c>
      <c r="C70" s="79" t="s">
        <v>76</v>
      </c>
      <c r="D70" s="42">
        <v>12</v>
      </c>
      <c r="E70" s="30">
        <v>12</v>
      </c>
      <c r="F70" s="30"/>
      <c r="G70" s="124"/>
      <c r="H70" s="124">
        <v>12</v>
      </c>
      <c r="I70" s="23"/>
      <c r="J70" s="24"/>
      <c r="K70" s="39"/>
      <c r="L70" s="40"/>
    </row>
    <row r="71" spans="1:12">
      <c r="A71" s="77">
        <v>2</v>
      </c>
      <c r="B71" s="78" t="s">
        <v>143</v>
      </c>
      <c r="C71" s="77"/>
      <c r="D71" s="42"/>
      <c r="E71" s="30"/>
      <c r="F71" s="30"/>
      <c r="G71" s="124"/>
      <c r="H71" s="124"/>
      <c r="I71" s="23"/>
      <c r="J71" s="24"/>
      <c r="K71" s="39"/>
      <c r="L71" s="40"/>
    </row>
    <row r="72" spans="1:12">
      <c r="A72" s="79"/>
      <c r="B72" s="65" t="s">
        <v>139</v>
      </c>
      <c r="C72" s="79" t="s">
        <v>76</v>
      </c>
      <c r="D72" s="42">
        <v>10</v>
      </c>
      <c r="E72" s="30">
        <v>20</v>
      </c>
      <c r="F72" s="30"/>
      <c r="G72" s="124"/>
      <c r="H72" s="124">
        <v>20</v>
      </c>
      <c r="I72" s="23"/>
      <c r="J72" s="24"/>
      <c r="K72" s="39"/>
      <c r="L72" s="40"/>
    </row>
    <row r="73" spans="1:12">
      <c r="A73" s="79"/>
      <c r="B73" s="65" t="s">
        <v>140</v>
      </c>
      <c r="C73" s="79" t="s">
        <v>76</v>
      </c>
      <c r="D73" s="42">
        <v>80</v>
      </c>
      <c r="E73" s="30">
        <v>15</v>
      </c>
      <c r="F73" s="30"/>
      <c r="G73" s="124"/>
      <c r="H73" s="124">
        <v>15</v>
      </c>
      <c r="I73" s="23"/>
      <c r="J73" s="24"/>
      <c r="K73" s="39"/>
      <c r="L73" s="40"/>
    </row>
    <row r="74" spans="1:12" ht="33.75">
      <c r="A74" s="79"/>
      <c r="B74" s="65" t="s">
        <v>144</v>
      </c>
      <c r="C74" s="79" t="s">
        <v>76</v>
      </c>
      <c r="D74" s="42">
        <v>118</v>
      </c>
      <c r="E74" s="30">
        <v>0</v>
      </c>
      <c r="F74" s="30"/>
      <c r="G74" s="124"/>
      <c r="H74" s="124">
        <v>0</v>
      </c>
      <c r="I74" s="23"/>
      <c r="J74" s="24"/>
      <c r="K74" s="39"/>
      <c r="L74" s="40"/>
    </row>
    <row r="75" spans="1:12" ht="22.5">
      <c r="A75" s="51"/>
      <c r="B75" s="91" t="s">
        <v>145</v>
      </c>
      <c r="C75" s="92" t="s">
        <v>146</v>
      </c>
      <c r="D75" s="127">
        <v>2062</v>
      </c>
      <c r="E75" s="124">
        <v>2200</v>
      </c>
      <c r="F75" s="124"/>
      <c r="G75" s="124"/>
      <c r="H75" s="124">
        <v>2200</v>
      </c>
      <c r="I75" s="23"/>
      <c r="J75" s="24"/>
      <c r="K75" s="39"/>
      <c r="L75" s="40"/>
    </row>
    <row r="76" spans="1:12" ht="15.75">
      <c r="A76" s="481" t="s">
        <v>33</v>
      </c>
      <c r="B76" s="481"/>
      <c r="C76" s="481"/>
      <c r="D76" s="481"/>
      <c r="E76" s="481"/>
      <c r="F76" s="481"/>
      <c r="G76" s="481"/>
      <c r="H76" s="481"/>
      <c r="I76" s="481"/>
      <c r="J76" s="481"/>
      <c r="K76" s="481"/>
      <c r="L76" s="481"/>
    </row>
  </sheetData>
  <mergeCells count="13">
    <mergeCell ref="L4:L5"/>
    <mergeCell ref="B8:L8"/>
    <mergeCell ref="A76:L76"/>
    <mergeCell ref="A1:B1"/>
    <mergeCell ref="A2:L2"/>
    <mergeCell ref="A3:L3"/>
    <mergeCell ref="A4:A5"/>
    <mergeCell ref="B4:B5"/>
    <mergeCell ref="C4:C5"/>
    <mergeCell ref="D4:D5"/>
    <mergeCell ref="E4:H4"/>
    <mergeCell ref="I4:J4"/>
    <mergeCell ref="K4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workbookViewId="0">
      <pane ySplit="6" topLeftCell="A59" activePane="bottomLeft" state="frozen"/>
      <selection pane="bottomLeft" activeCell="O65" sqref="O65"/>
    </sheetView>
  </sheetViews>
  <sheetFormatPr defaultRowHeight="12.75"/>
  <cols>
    <col min="1" max="1" width="4.5" style="7" customWidth="1"/>
    <col min="2" max="2" width="25.75" style="7" customWidth="1"/>
    <col min="3" max="3" width="8" style="7" customWidth="1"/>
    <col min="4" max="4" width="8.375" style="48" customWidth="1"/>
    <col min="5" max="5" width="9.375" style="49" customWidth="1"/>
    <col min="6" max="6" width="9.75" style="49" hidden="1" customWidth="1"/>
    <col min="7" max="7" width="10.5" style="49" bestFit="1" customWidth="1"/>
    <col min="8" max="8" width="9.875" style="49" bestFit="1" customWidth="1"/>
    <col min="9" max="9" width="10.75" style="50" customWidth="1"/>
    <col min="10" max="10" width="9" style="50"/>
    <col min="11" max="11" width="12.25" style="1" customWidth="1"/>
    <col min="12" max="12" width="10.5" style="7" customWidth="1"/>
    <col min="13" max="16384" width="9" style="7"/>
  </cols>
  <sheetData>
    <row r="1" spans="1:14" ht="15.75">
      <c r="A1" s="467" t="s">
        <v>8</v>
      </c>
      <c r="B1" s="467"/>
      <c r="C1" s="2"/>
      <c r="D1" s="3"/>
      <c r="E1" s="4"/>
      <c r="F1" s="4"/>
      <c r="G1" s="4"/>
      <c r="H1" s="4"/>
      <c r="I1" s="5"/>
      <c r="J1" s="5"/>
      <c r="K1" s="6"/>
      <c r="L1" s="2"/>
    </row>
    <row r="2" spans="1:14" ht="15.75" customHeight="1">
      <c r="A2" s="475" t="s">
        <v>160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4" ht="15.75">
      <c r="A3" s="474" t="s">
        <v>163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</row>
    <row r="4" spans="1:14" ht="15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4" ht="12.75" customHeight="1">
      <c r="A5" s="487" t="s">
        <v>9</v>
      </c>
      <c r="B5" s="489" t="s">
        <v>10</v>
      </c>
      <c r="C5" s="489" t="s">
        <v>11</v>
      </c>
      <c r="D5" s="491" t="s">
        <v>265</v>
      </c>
      <c r="E5" s="493" t="s">
        <v>153</v>
      </c>
      <c r="F5" s="494"/>
      <c r="G5" s="494"/>
      <c r="H5" s="495"/>
      <c r="I5" s="493" t="s">
        <v>0</v>
      </c>
      <c r="J5" s="495"/>
      <c r="K5" s="496" t="s">
        <v>1</v>
      </c>
      <c r="L5" s="482" t="s">
        <v>2</v>
      </c>
    </row>
    <row r="6" spans="1:14" ht="85.5" customHeight="1">
      <c r="A6" s="488"/>
      <c r="B6" s="490"/>
      <c r="C6" s="490"/>
      <c r="D6" s="492"/>
      <c r="E6" s="163" t="s">
        <v>3</v>
      </c>
      <c r="F6" s="163" t="s">
        <v>158</v>
      </c>
      <c r="G6" s="464" t="s">
        <v>309</v>
      </c>
      <c r="H6" s="163" t="s">
        <v>4</v>
      </c>
      <c r="I6" s="465" t="s">
        <v>310</v>
      </c>
      <c r="J6" s="465" t="s">
        <v>311</v>
      </c>
      <c r="K6" s="497"/>
      <c r="L6" s="483"/>
    </row>
    <row r="7" spans="1:14">
      <c r="A7" s="9" t="s">
        <v>5</v>
      </c>
      <c r="B7" s="9" t="s">
        <v>6</v>
      </c>
      <c r="C7" s="9" t="s">
        <v>7</v>
      </c>
      <c r="D7" s="10">
        <v>1</v>
      </c>
      <c r="E7" s="10">
        <v>2</v>
      </c>
      <c r="F7" s="10">
        <v>4</v>
      </c>
      <c r="G7" s="10">
        <v>5</v>
      </c>
      <c r="H7" s="10">
        <v>6</v>
      </c>
      <c r="I7" s="11">
        <v>7</v>
      </c>
      <c r="J7" s="11">
        <v>8</v>
      </c>
      <c r="K7" s="9">
        <v>9</v>
      </c>
      <c r="L7" s="9">
        <v>10</v>
      </c>
    </row>
    <row r="8" spans="1:14" ht="13.5">
      <c r="A8" s="12"/>
      <c r="B8" s="12"/>
      <c r="C8" s="12"/>
      <c r="D8" s="13"/>
      <c r="E8" s="13"/>
      <c r="F8" s="14"/>
      <c r="G8" s="14"/>
      <c r="H8" s="14"/>
      <c r="I8" s="15"/>
      <c r="J8" s="15"/>
      <c r="K8" s="16"/>
      <c r="L8" s="12"/>
      <c r="N8" s="17"/>
    </row>
    <row r="9" spans="1:14">
      <c r="A9" s="18" t="s">
        <v>12</v>
      </c>
      <c r="B9" s="484" t="s">
        <v>16</v>
      </c>
      <c r="C9" s="485"/>
      <c r="D9" s="485"/>
      <c r="E9" s="485"/>
      <c r="F9" s="485"/>
      <c r="G9" s="485"/>
      <c r="H9" s="485"/>
      <c r="I9" s="485"/>
      <c r="J9" s="485"/>
      <c r="K9" s="485"/>
      <c r="L9" s="486"/>
    </row>
    <row r="10" spans="1:14">
      <c r="A10" s="61">
        <v>1</v>
      </c>
      <c r="B10" s="93" t="s">
        <v>63</v>
      </c>
      <c r="C10" s="19"/>
      <c r="D10" s="21"/>
      <c r="E10" s="22"/>
      <c r="F10" s="21"/>
      <c r="G10" s="21"/>
      <c r="H10" s="21"/>
      <c r="I10" s="23"/>
      <c r="J10" s="24"/>
      <c r="K10" s="25"/>
      <c r="L10" s="26"/>
    </row>
    <row r="11" spans="1:14">
      <c r="A11" s="160"/>
      <c r="B11" s="65" t="s">
        <v>64</v>
      </c>
      <c r="C11" s="66" t="s">
        <v>76</v>
      </c>
      <c r="D11" s="109">
        <f>D13+D14</f>
        <v>462629</v>
      </c>
      <c r="E11" s="124">
        <f>E13+E14</f>
        <v>469102</v>
      </c>
      <c r="F11" s="109">
        <f t="shared" ref="F11" si="0">F13+F14</f>
        <v>469102</v>
      </c>
      <c r="G11" s="131">
        <f>G13+G14</f>
        <v>469505</v>
      </c>
      <c r="H11" s="131">
        <f>H13+H14</f>
        <v>469505</v>
      </c>
      <c r="I11" s="23">
        <f>G11/D11*100</f>
        <v>101.48628814881904</v>
      </c>
      <c r="J11" s="562">
        <f>G11/H11*100</f>
        <v>100</v>
      </c>
      <c r="K11" s="31"/>
      <c r="L11" s="32"/>
    </row>
    <row r="12" spans="1:14">
      <c r="A12" s="160"/>
      <c r="B12" s="65" t="s">
        <v>65</v>
      </c>
      <c r="C12" s="66"/>
      <c r="D12" s="99"/>
      <c r="E12" s="30"/>
      <c r="F12" s="109"/>
      <c r="G12" s="131"/>
      <c r="H12" s="131"/>
      <c r="I12" s="23"/>
      <c r="J12" s="562"/>
      <c r="K12" s="31"/>
      <c r="L12" s="32"/>
    </row>
    <row r="13" spans="1:14">
      <c r="A13" s="160"/>
      <c r="B13" s="65" t="s">
        <v>66</v>
      </c>
      <c r="C13" s="66" t="s">
        <v>76</v>
      </c>
      <c r="D13" s="99">
        <v>82594</v>
      </c>
      <c r="E13" s="124">
        <v>84161</v>
      </c>
      <c r="F13" s="109">
        <v>84161</v>
      </c>
      <c r="G13" s="131">
        <v>84250</v>
      </c>
      <c r="H13" s="131">
        <v>84250</v>
      </c>
      <c r="I13" s="23">
        <f t="shared" ref="I12:I22" si="1">G13/D13*100</f>
        <v>102.0049882558055</v>
      </c>
      <c r="J13" s="562">
        <f t="shared" ref="J12:J22" si="2">G13/H13*100</f>
        <v>100</v>
      </c>
      <c r="K13" s="31"/>
      <c r="L13" s="32"/>
    </row>
    <row r="14" spans="1:14">
      <c r="A14" s="160"/>
      <c r="B14" s="65" t="s">
        <v>67</v>
      </c>
      <c r="C14" s="66" t="s">
        <v>76</v>
      </c>
      <c r="D14" s="99">
        <v>380035</v>
      </c>
      <c r="E14" s="124">
        <v>384941</v>
      </c>
      <c r="F14" s="109">
        <v>384941</v>
      </c>
      <c r="G14" s="131">
        <v>385255</v>
      </c>
      <c r="H14" s="131">
        <v>385255</v>
      </c>
      <c r="I14" s="23">
        <f t="shared" si="1"/>
        <v>101.37355769863301</v>
      </c>
      <c r="J14" s="562">
        <f t="shared" si="2"/>
        <v>100</v>
      </c>
      <c r="K14" s="33"/>
      <c r="L14" s="34"/>
    </row>
    <row r="15" spans="1:14">
      <c r="A15" s="160"/>
      <c r="B15" s="65" t="s">
        <v>68</v>
      </c>
      <c r="C15" s="66" t="s">
        <v>76</v>
      </c>
      <c r="D15" s="99">
        <v>390371</v>
      </c>
      <c r="E15" s="124">
        <v>397043</v>
      </c>
      <c r="F15" s="109">
        <v>397043</v>
      </c>
      <c r="G15" s="131">
        <v>397043</v>
      </c>
      <c r="H15" s="131">
        <v>397043</v>
      </c>
      <c r="I15" s="23">
        <f t="shared" si="1"/>
        <v>101.70914335337409</v>
      </c>
      <c r="J15" s="562">
        <f t="shared" si="2"/>
        <v>100</v>
      </c>
      <c r="K15" s="33"/>
      <c r="L15" s="34"/>
    </row>
    <row r="16" spans="1:14">
      <c r="A16" s="160"/>
      <c r="B16" s="65" t="s">
        <v>69</v>
      </c>
      <c r="C16" s="66" t="s">
        <v>77</v>
      </c>
      <c r="D16" s="155">
        <v>2.04</v>
      </c>
      <c r="E16" s="125">
        <v>1.45</v>
      </c>
      <c r="F16" s="29"/>
      <c r="G16" s="132">
        <v>1.49</v>
      </c>
      <c r="H16" s="132">
        <v>1.49</v>
      </c>
      <c r="I16" s="23">
        <f t="shared" si="1"/>
        <v>73.039215686274503</v>
      </c>
      <c r="J16" s="562">
        <f t="shared" si="2"/>
        <v>100</v>
      </c>
      <c r="K16" s="35"/>
      <c r="L16" s="36"/>
    </row>
    <row r="17" spans="1:12">
      <c r="A17" s="160"/>
      <c r="B17" s="65" t="s">
        <v>70</v>
      </c>
      <c r="C17" s="66" t="s">
        <v>78</v>
      </c>
      <c r="D17" s="155">
        <v>0.86</v>
      </c>
      <c r="E17" s="125">
        <v>0.5</v>
      </c>
      <c r="F17" s="29"/>
      <c r="G17" s="132">
        <v>0.96</v>
      </c>
      <c r="H17" s="132">
        <v>0.96</v>
      </c>
      <c r="I17" s="23">
        <f t="shared" si="1"/>
        <v>111.62790697674419</v>
      </c>
      <c r="J17" s="562">
        <f t="shared" si="2"/>
        <v>100</v>
      </c>
      <c r="K17" s="31"/>
      <c r="L17" s="32"/>
    </row>
    <row r="18" spans="1:12">
      <c r="A18" s="160"/>
      <c r="B18" s="65" t="s">
        <v>71</v>
      </c>
      <c r="C18" s="66" t="s">
        <v>79</v>
      </c>
      <c r="D18" s="155">
        <v>15.75</v>
      </c>
      <c r="E18" s="125">
        <v>15.45</v>
      </c>
      <c r="F18" s="30"/>
      <c r="G18" s="125">
        <v>15.45</v>
      </c>
      <c r="H18" s="125">
        <v>15.45</v>
      </c>
      <c r="I18" s="23">
        <f t="shared" si="1"/>
        <v>98.095238095238088</v>
      </c>
      <c r="J18" s="562">
        <f t="shared" si="2"/>
        <v>100</v>
      </c>
      <c r="K18" s="35"/>
      <c r="L18" s="36"/>
    </row>
    <row r="19" spans="1:12" ht="22.5">
      <c r="A19" s="160"/>
      <c r="B19" s="65" t="s">
        <v>72</v>
      </c>
      <c r="C19" s="66" t="s">
        <v>77</v>
      </c>
      <c r="D19" s="161">
        <v>109.06</v>
      </c>
      <c r="E19" s="126">
        <v>109.6</v>
      </c>
      <c r="F19" s="37"/>
      <c r="G19" s="130">
        <v>109.6</v>
      </c>
      <c r="H19" s="130">
        <v>109.6</v>
      </c>
      <c r="I19" s="23">
        <f t="shared" si="1"/>
        <v>100.49514028974875</v>
      </c>
      <c r="J19" s="562">
        <f t="shared" si="2"/>
        <v>100</v>
      </c>
      <c r="K19" s="38"/>
      <c r="L19" s="155"/>
    </row>
    <row r="20" spans="1:12">
      <c r="A20" s="160">
        <v>2</v>
      </c>
      <c r="B20" s="64" t="s">
        <v>73</v>
      </c>
      <c r="C20" s="66"/>
      <c r="D20" s="161"/>
      <c r="E20" s="124"/>
      <c r="F20" s="30"/>
      <c r="G20" s="124"/>
      <c r="H20" s="124"/>
      <c r="I20" s="23"/>
      <c r="J20" s="562"/>
      <c r="K20" s="35"/>
      <c r="L20" s="36"/>
    </row>
    <row r="21" spans="1:12" ht="22.5">
      <c r="A21" s="160"/>
      <c r="B21" s="65" t="s">
        <v>74</v>
      </c>
      <c r="C21" s="66" t="s">
        <v>77</v>
      </c>
      <c r="D21" s="161">
        <v>70.19</v>
      </c>
      <c r="E21" s="123">
        <v>70</v>
      </c>
      <c r="F21" s="30"/>
      <c r="G21" s="123">
        <v>70</v>
      </c>
      <c r="H21" s="123">
        <v>70</v>
      </c>
      <c r="I21" s="23">
        <f t="shared" si="1"/>
        <v>99.729306168969941</v>
      </c>
      <c r="J21" s="562">
        <f t="shared" si="2"/>
        <v>100</v>
      </c>
      <c r="K21" s="39"/>
      <c r="L21" s="155"/>
    </row>
    <row r="22" spans="1:12" ht="22.5">
      <c r="A22" s="68"/>
      <c r="B22" s="69" t="s">
        <v>75</v>
      </c>
      <c r="C22" s="70" t="s">
        <v>77</v>
      </c>
      <c r="D22" s="71">
        <v>16.09</v>
      </c>
      <c r="E22" s="123">
        <v>15.5</v>
      </c>
      <c r="F22" s="42"/>
      <c r="G22" s="128">
        <v>15.7</v>
      </c>
      <c r="H22" s="128">
        <v>15.7</v>
      </c>
      <c r="I22" s="23">
        <f t="shared" si="1"/>
        <v>97.576134244872591</v>
      </c>
      <c r="J22" s="562">
        <f t="shared" si="2"/>
        <v>100</v>
      </c>
      <c r="K22" s="39"/>
      <c r="L22" s="40"/>
    </row>
    <row r="23" spans="1:12">
      <c r="A23" s="74" t="s">
        <v>6</v>
      </c>
      <c r="B23" s="75" t="s">
        <v>18</v>
      </c>
      <c r="C23" s="40"/>
      <c r="D23" s="42"/>
      <c r="E23" s="30"/>
      <c r="F23" s="42"/>
      <c r="G23" s="42"/>
      <c r="H23" s="42"/>
      <c r="I23" s="23"/>
      <c r="J23" s="562"/>
      <c r="K23" s="39"/>
      <c r="L23" s="40"/>
    </row>
    <row r="24" spans="1:12">
      <c r="A24" s="89" t="s">
        <v>12</v>
      </c>
      <c r="B24" s="90" t="s">
        <v>80</v>
      </c>
      <c r="C24" s="40"/>
      <c r="D24" s="42"/>
      <c r="E24" s="30"/>
      <c r="F24" s="42"/>
      <c r="G24" s="42"/>
      <c r="H24" s="42"/>
      <c r="I24" s="23"/>
      <c r="J24" s="562"/>
      <c r="K24" s="39"/>
      <c r="L24" s="40"/>
    </row>
    <row r="25" spans="1:12">
      <c r="A25" s="79">
        <v>1</v>
      </c>
      <c r="B25" s="65" t="s">
        <v>81</v>
      </c>
      <c r="C25" s="79" t="s">
        <v>82</v>
      </c>
      <c r="D25" s="161">
        <v>122</v>
      </c>
      <c r="E25" s="30">
        <v>122</v>
      </c>
      <c r="F25" s="30">
        <v>122</v>
      </c>
      <c r="G25" s="124">
        <f>SUM(G26:G32)</f>
        <v>120</v>
      </c>
      <c r="H25" s="124">
        <f>SUM(H26:H32)</f>
        <v>120</v>
      </c>
      <c r="I25" s="23">
        <f>G25/D25*100</f>
        <v>98.360655737704917</v>
      </c>
      <c r="J25" s="562">
        <f>G25/H25*100</f>
        <v>100</v>
      </c>
      <c r="K25" s="39"/>
      <c r="L25" s="40"/>
    </row>
    <row r="26" spans="1:12">
      <c r="A26" s="80"/>
      <c r="B26" s="81" t="s">
        <v>83</v>
      </c>
      <c r="C26" s="80" t="s">
        <v>84</v>
      </c>
      <c r="D26" s="161">
        <v>1</v>
      </c>
      <c r="E26" s="30">
        <v>1</v>
      </c>
      <c r="F26" s="30">
        <v>1</v>
      </c>
      <c r="G26" s="124">
        <v>1</v>
      </c>
      <c r="H26" s="30">
        <v>1</v>
      </c>
      <c r="I26" s="23">
        <f t="shared" ref="I26:I40" si="3">G26/D26*100</f>
        <v>100</v>
      </c>
      <c r="J26" s="562">
        <f t="shared" ref="J26:J40" si="4">G26/H26*100</f>
        <v>100</v>
      </c>
      <c r="K26" s="39"/>
      <c r="L26" s="40"/>
    </row>
    <row r="27" spans="1:12">
      <c r="A27" s="80"/>
      <c r="B27" s="81" t="s">
        <v>85</v>
      </c>
      <c r="C27" s="80" t="s">
        <v>84</v>
      </c>
      <c r="D27" s="161">
        <v>2</v>
      </c>
      <c r="E27" s="30">
        <v>2</v>
      </c>
      <c r="F27" s="30">
        <v>2</v>
      </c>
      <c r="G27" s="124">
        <v>2</v>
      </c>
      <c r="H27" s="30">
        <v>2</v>
      </c>
      <c r="I27" s="23">
        <f t="shared" si="3"/>
        <v>100</v>
      </c>
      <c r="J27" s="562">
        <f t="shared" si="4"/>
        <v>100</v>
      </c>
      <c r="K27" s="39"/>
      <c r="L27" s="40"/>
    </row>
    <row r="28" spans="1:12">
      <c r="A28" s="80"/>
      <c r="B28" s="81" t="s">
        <v>149</v>
      </c>
      <c r="C28" s="80" t="s">
        <v>87</v>
      </c>
      <c r="D28" s="161">
        <v>1</v>
      </c>
      <c r="E28" s="30">
        <v>1</v>
      </c>
      <c r="F28" s="30">
        <v>1</v>
      </c>
      <c r="G28" s="124">
        <v>1</v>
      </c>
      <c r="H28" s="30">
        <v>1</v>
      </c>
      <c r="I28" s="23">
        <f t="shared" si="3"/>
        <v>100</v>
      </c>
      <c r="J28" s="562">
        <f t="shared" si="4"/>
        <v>100</v>
      </c>
      <c r="K28" s="39"/>
      <c r="L28" s="40"/>
    </row>
    <row r="29" spans="1:12">
      <c r="A29" s="80"/>
      <c r="B29" s="81" t="s">
        <v>86</v>
      </c>
      <c r="C29" s="80" t="s">
        <v>87</v>
      </c>
      <c r="D29" s="161">
        <v>8</v>
      </c>
      <c r="E29" s="30">
        <v>8</v>
      </c>
      <c r="F29" s="30">
        <v>8</v>
      </c>
      <c r="G29" s="124">
        <v>8</v>
      </c>
      <c r="H29" s="30">
        <v>8</v>
      </c>
      <c r="I29" s="23">
        <f t="shared" si="3"/>
        <v>100</v>
      </c>
      <c r="J29" s="562">
        <f t="shared" si="4"/>
        <v>100</v>
      </c>
      <c r="K29" s="39"/>
      <c r="L29" s="40"/>
    </row>
    <row r="30" spans="1:12">
      <c r="A30" s="80"/>
      <c r="B30" s="98" t="s">
        <v>151</v>
      </c>
      <c r="C30" s="80" t="s">
        <v>87</v>
      </c>
      <c r="D30" s="161">
        <v>1</v>
      </c>
      <c r="E30" s="30">
        <v>1</v>
      </c>
      <c r="F30" s="30">
        <v>1</v>
      </c>
      <c r="G30" s="124">
        <v>1</v>
      </c>
      <c r="H30" s="30">
        <v>1</v>
      </c>
      <c r="I30" s="23">
        <f t="shared" si="3"/>
        <v>100</v>
      </c>
      <c r="J30" s="562">
        <f t="shared" si="4"/>
        <v>100</v>
      </c>
      <c r="K30" s="39"/>
      <c r="L30" s="40"/>
    </row>
    <row r="31" spans="1:12">
      <c r="A31" s="80"/>
      <c r="B31" s="82" t="s">
        <v>88</v>
      </c>
      <c r="C31" s="80" t="s">
        <v>89</v>
      </c>
      <c r="D31" s="161">
        <v>4</v>
      </c>
      <c r="E31" s="30">
        <v>4</v>
      </c>
      <c r="F31" s="30">
        <v>4</v>
      </c>
      <c r="G31" s="124">
        <v>4</v>
      </c>
      <c r="H31" s="30">
        <v>4</v>
      </c>
      <c r="I31" s="23">
        <f t="shared" si="3"/>
        <v>100</v>
      </c>
      <c r="J31" s="562">
        <f t="shared" si="4"/>
        <v>100</v>
      </c>
      <c r="K31" s="39"/>
      <c r="L31" s="40"/>
    </row>
    <row r="32" spans="1:12">
      <c r="A32" s="80"/>
      <c r="B32" s="82" t="s">
        <v>90</v>
      </c>
      <c r="C32" s="80" t="s">
        <v>91</v>
      </c>
      <c r="D32" s="161">
        <v>105</v>
      </c>
      <c r="E32" s="30">
        <v>105</v>
      </c>
      <c r="F32" s="30">
        <v>105</v>
      </c>
      <c r="G32" s="124">
        <v>103</v>
      </c>
      <c r="H32" s="30">
        <v>103</v>
      </c>
      <c r="I32" s="23">
        <f t="shared" si="3"/>
        <v>98.095238095238088</v>
      </c>
      <c r="J32" s="562">
        <f t="shared" si="4"/>
        <v>100</v>
      </c>
      <c r="K32" s="39"/>
      <c r="L32" s="40"/>
    </row>
    <row r="33" spans="1:12">
      <c r="A33" s="79">
        <v>2</v>
      </c>
      <c r="B33" s="65" t="s">
        <v>92</v>
      </c>
      <c r="C33" s="79" t="s">
        <v>82</v>
      </c>
      <c r="D33" s="161">
        <v>2</v>
      </c>
      <c r="E33" s="30">
        <v>2</v>
      </c>
      <c r="F33" s="30">
        <v>2</v>
      </c>
      <c r="G33" s="124">
        <v>2</v>
      </c>
      <c r="H33" s="30">
        <v>2</v>
      </c>
      <c r="I33" s="23">
        <f t="shared" si="3"/>
        <v>100</v>
      </c>
      <c r="J33" s="562">
        <f t="shared" si="4"/>
        <v>100</v>
      </c>
      <c r="K33" s="39"/>
      <c r="L33" s="40"/>
    </row>
    <row r="34" spans="1:12">
      <c r="A34" s="79">
        <v>3</v>
      </c>
      <c r="B34" s="83" t="s">
        <v>93</v>
      </c>
      <c r="C34" s="79" t="s">
        <v>94</v>
      </c>
      <c r="D34" s="161">
        <v>1450</v>
      </c>
      <c r="E34" s="30">
        <f>E35+E36</f>
        <v>1580</v>
      </c>
      <c r="F34" s="30">
        <v>1580</v>
      </c>
      <c r="G34" s="124">
        <v>1580</v>
      </c>
      <c r="H34" s="30">
        <v>1580</v>
      </c>
      <c r="I34" s="23">
        <f t="shared" si="3"/>
        <v>108.9655172413793</v>
      </c>
      <c r="J34" s="562">
        <f t="shared" si="4"/>
        <v>100</v>
      </c>
      <c r="K34" s="39"/>
      <c r="L34" s="40"/>
    </row>
    <row r="35" spans="1:12">
      <c r="A35" s="79"/>
      <c r="B35" s="83" t="s">
        <v>95</v>
      </c>
      <c r="C35" s="79" t="s">
        <v>94</v>
      </c>
      <c r="D35" s="161">
        <v>590</v>
      </c>
      <c r="E35" s="30">
        <v>660</v>
      </c>
      <c r="F35" s="30">
        <v>660</v>
      </c>
      <c r="G35" s="124">
        <v>660</v>
      </c>
      <c r="H35" s="30">
        <v>660</v>
      </c>
      <c r="I35" s="23">
        <f t="shared" si="3"/>
        <v>111.86440677966101</v>
      </c>
      <c r="J35" s="562">
        <f t="shared" si="4"/>
        <v>100</v>
      </c>
      <c r="K35" s="39"/>
      <c r="L35" s="40"/>
    </row>
    <row r="36" spans="1:12">
      <c r="A36" s="79"/>
      <c r="B36" s="83" t="s">
        <v>96</v>
      </c>
      <c r="C36" s="79" t="s">
        <v>94</v>
      </c>
      <c r="D36" s="161">
        <v>860</v>
      </c>
      <c r="E36" s="30">
        <f>E37+E38</f>
        <v>920</v>
      </c>
      <c r="F36" s="30">
        <v>920</v>
      </c>
      <c r="G36" s="124">
        <v>920</v>
      </c>
      <c r="H36" s="30">
        <v>920</v>
      </c>
      <c r="I36" s="23">
        <f t="shared" si="3"/>
        <v>106.9767441860465</v>
      </c>
      <c r="J36" s="562">
        <f t="shared" si="4"/>
        <v>100</v>
      </c>
      <c r="K36" s="39"/>
      <c r="L36" s="40"/>
    </row>
    <row r="37" spans="1:12">
      <c r="A37" s="80"/>
      <c r="B37" s="81" t="s">
        <v>97</v>
      </c>
      <c r="C37" s="79" t="s">
        <v>94</v>
      </c>
      <c r="D37" s="161">
        <v>800</v>
      </c>
      <c r="E37" s="30">
        <v>860</v>
      </c>
      <c r="F37" s="30">
        <v>860</v>
      </c>
      <c r="G37" s="124">
        <v>860</v>
      </c>
      <c r="H37" s="30">
        <v>860</v>
      </c>
      <c r="I37" s="23">
        <f t="shared" si="3"/>
        <v>107.5</v>
      </c>
      <c r="J37" s="562">
        <f t="shared" si="4"/>
        <v>100</v>
      </c>
      <c r="K37" s="39"/>
      <c r="L37" s="40"/>
    </row>
    <row r="38" spans="1:12">
      <c r="A38" s="80"/>
      <c r="B38" s="95" t="s">
        <v>150</v>
      </c>
      <c r="C38" s="80" t="s">
        <v>94</v>
      </c>
      <c r="D38" s="161">
        <v>60</v>
      </c>
      <c r="E38" s="30">
        <v>60</v>
      </c>
      <c r="F38" s="30">
        <v>60</v>
      </c>
      <c r="G38" s="124">
        <v>60</v>
      </c>
      <c r="H38" s="30">
        <v>60</v>
      </c>
      <c r="I38" s="23">
        <f t="shared" si="3"/>
        <v>100</v>
      </c>
      <c r="J38" s="562">
        <f t="shared" si="4"/>
        <v>100</v>
      </c>
      <c r="K38" s="39"/>
      <c r="L38" s="40"/>
    </row>
    <row r="39" spans="1:12" ht="22.5">
      <c r="A39" s="79">
        <v>4</v>
      </c>
      <c r="B39" s="65" t="s">
        <v>98</v>
      </c>
      <c r="C39" s="79" t="s">
        <v>94</v>
      </c>
      <c r="D39" s="161">
        <v>31.68</v>
      </c>
      <c r="E39" s="122">
        <f>E34/E11*10000</f>
        <v>33.68137420006736</v>
      </c>
      <c r="F39" s="122">
        <v>33.68137420006736</v>
      </c>
      <c r="G39" s="122">
        <v>33.68137420006736</v>
      </c>
      <c r="H39" s="122">
        <v>33.68137420006736</v>
      </c>
      <c r="I39" s="23">
        <f t="shared" si="3"/>
        <v>106.31746906586919</v>
      </c>
      <c r="J39" s="562">
        <f t="shared" si="4"/>
        <v>100</v>
      </c>
      <c r="K39" s="39"/>
      <c r="L39" s="40"/>
    </row>
    <row r="40" spans="1:12" ht="22.5">
      <c r="A40" s="80"/>
      <c r="B40" s="84" t="s">
        <v>99</v>
      </c>
      <c r="C40" s="80" t="s">
        <v>100</v>
      </c>
      <c r="D40" s="161">
        <v>31.68</v>
      </c>
      <c r="E40" s="122">
        <f>E34/E11*10000</f>
        <v>33.68137420006736</v>
      </c>
      <c r="F40" s="122">
        <v>33.68137420006736</v>
      </c>
      <c r="G40" s="122">
        <v>33.68137420006736</v>
      </c>
      <c r="H40" s="122">
        <v>33.68137420006736</v>
      </c>
      <c r="I40" s="23">
        <f t="shared" si="3"/>
        <v>106.31746906586919</v>
      </c>
      <c r="J40" s="562">
        <f t="shared" si="4"/>
        <v>100</v>
      </c>
      <c r="K40" s="39"/>
      <c r="L40" s="40"/>
    </row>
    <row r="41" spans="1:12">
      <c r="A41" s="77" t="s">
        <v>101</v>
      </c>
      <c r="B41" s="78" t="s">
        <v>102</v>
      </c>
      <c r="C41" s="77"/>
      <c r="D41" s="101"/>
      <c r="E41" s="30"/>
      <c r="F41" s="42"/>
      <c r="G41" s="124"/>
      <c r="H41" s="42"/>
      <c r="I41" s="23"/>
      <c r="J41" s="24"/>
      <c r="K41" s="39"/>
      <c r="L41" s="40"/>
    </row>
    <row r="42" spans="1:12">
      <c r="A42" s="79">
        <v>1</v>
      </c>
      <c r="B42" s="65" t="s">
        <v>103</v>
      </c>
      <c r="C42" s="102" t="s">
        <v>76</v>
      </c>
      <c r="D42" s="108">
        <v>2842</v>
      </c>
      <c r="E42" s="30">
        <v>3085</v>
      </c>
      <c r="F42" s="124">
        <v>2829</v>
      </c>
      <c r="G42" s="124">
        <v>2790</v>
      </c>
      <c r="H42" s="124">
        <v>3085</v>
      </c>
      <c r="I42" s="561">
        <f>G42/D42*100</f>
        <v>98.170302603800138</v>
      </c>
      <c r="J42" s="24">
        <f>G42/H42*100</f>
        <v>90.437601296596441</v>
      </c>
      <c r="K42" s="39"/>
      <c r="L42" s="40"/>
    </row>
    <row r="43" spans="1:12">
      <c r="A43" s="79"/>
      <c r="B43" s="65" t="s">
        <v>104</v>
      </c>
      <c r="C43" s="102"/>
      <c r="D43" s="28"/>
      <c r="E43" s="30"/>
      <c r="F43" s="124"/>
      <c r="G43" s="124"/>
      <c r="H43" s="124"/>
      <c r="I43" s="561"/>
      <c r="J43" s="466"/>
      <c r="K43" s="39"/>
      <c r="L43" s="40"/>
    </row>
    <row r="44" spans="1:12">
      <c r="A44" s="79" t="s">
        <v>105</v>
      </c>
      <c r="B44" s="65" t="s">
        <v>106</v>
      </c>
      <c r="C44" s="102" t="s">
        <v>76</v>
      </c>
      <c r="D44" s="28">
        <v>419</v>
      </c>
      <c r="E44" s="30">
        <v>568</v>
      </c>
      <c r="F44" s="124">
        <v>430</v>
      </c>
      <c r="G44" s="124">
        <v>427</v>
      </c>
      <c r="H44" s="124">
        <v>568</v>
      </c>
      <c r="I44" s="561">
        <f t="shared" ref="I43:I49" si="5">G44/D44*100</f>
        <v>101.90930787589498</v>
      </c>
      <c r="J44" s="466">
        <f t="shared" ref="J43:J49" si="6">G44/H44*100</f>
        <v>75.176056338028175</v>
      </c>
      <c r="K44" s="39"/>
      <c r="L44" s="40"/>
    </row>
    <row r="45" spans="1:12">
      <c r="A45" s="80"/>
      <c r="B45" s="82" t="s">
        <v>107</v>
      </c>
      <c r="C45" s="103" t="s">
        <v>108</v>
      </c>
      <c r="D45" s="105">
        <v>9.0569333094120772</v>
      </c>
      <c r="E45" s="122">
        <f>E44/E11*10000</f>
        <v>12.108240851669786</v>
      </c>
      <c r="F45" s="122">
        <v>9.1664499405246627</v>
      </c>
      <c r="G45" s="125">
        <f>G44/G11*10000</f>
        <v>9.094684827637618</v>
      </c>
      <c r="H45" s="122">
        <v>12.108240851669786</v>
      </c>
      <c r="I45" s="561">
        <f t="shared" si="5"/>
        <v>100.41682451372706</v>
      </c>
      <c r="J45" s="466">
        <f t="shared" si="6"/>
        <v>75.11152890870531</v>
      </c>
      <c r="K45" s="39"/>
      <c r="L45" s="40"/>
    </row>
    <row r="46" spans="1:12">
      <c r="A46" s="79" t="s">
        <v>109</v>
      </c>
      <c r="B46" s="65" t="s">
        <v>110</v>
      </c>
      <c r="C46" s="102" t="s">
        <v>76</v>
      </c>
      <c r="D46" s="28">
        <v>52</v>
      </c>
      <c r="E46" s="30">
        <v>65</v>
      </c>
      <c r="F46" s="124">
        <v>59</v>
      </c>
      <c r="G46" s="124">
        <v>60</v>
      </c>
      <c r="H46" s="124">
        <v>65</v>
      </c>
      <c r="I46" s="561">
        <f t="shared" si="5"/>
        <v>115.38461538461537</v>
      </c>
      <c r="J46" s="466">
        <f t="shared" si="6"/>
        <v>92.307692307692307</v>
      </c>
      <c r="K46" s="39"/>
      <c r="L46" s="40"/>
    </row>
    <row r="47" spans="1:12">
      <c r="A47" s="80"/>
      <c r="B47" s="82" t="s">
        <v>111</v>
      </c>
      <c r="C47" s="103" t="s">
        <v>108</v>
      </c>
      <c r="D47" s="105">
        <v>1.1240108164425491</v>
      </c>
      <c r="E47" s="122">
        <f>E46/E11*10000</f>
        <v>1.3856261538002397</v>
      </c>
      <c r="F47" s="122">
        <v>1.2577222011417559</v>
      </c>
      <c r="G47" s="122">
        <v>1.2790395265848367</v>
      </c>
      <c r="H47" s="122">
        <v>1.3856261538002397</v>
      </c>
      <c r="I47" s="561">
        <f t="shared" si="5"/>
        <v>113.79245714315699</v>
      </c>
      <c r="J47" s="466">
        <f t="shared" si="6"/>
        <v>92.307692307692307</v>
      </c>
      <c r="K47" s="39"/>
      <c r="L47" s="40"/>
    </row>
    <row r="48" spans="1:12" ht="22.5">
      <c r="A48" s="79">
        <v>3</v>
      </c>
      <c r="B48" s="65" t="s">
        <v>112</v>
      </c>
      <c r="C48" s="102" t="s">
        <v>77</v>
      </c>
      <c r="D48" s="105">
        <v>17.592592592592592</v>
      </c>
      <c r="E48" s="122">
        <f>20/108*100</f>
        <v>18.518518518518519</v>
      </c>
      <c r="F48" s="122">
        <v>17.592592592592592</v>
      </c>
      <c r="G48" s="122">
        <v>18.518518518518519</v>
      </c>
      <c r="H48" s="122">
        <v>18.518518518518519</v>
      </c>
      <c r="I48" s="561">
        <f t="shared" si="5"/>
        <v>105.26315789473686</v>
      </c>
      <c r="J48" s="466">
        <f t="shared" si="6"/>
        <v>100</v>
      </c>
      <c r="K48" s="39"/>
      <c r="L48" s="40"/>
    </row>
    <row r="49" spans="1:13" ht="22.5">
      <c r="A49" s="79">
        <v>5</v>
      </c>
      <c r="B49" s="65" t="s">
        <v>113</v>
      </c>
      <c r="C49" s="79" t="s">
        <v>77</v>
      </c>
      <c r="D49" s="104">
        <v>95.909090909090907</v>
      </c>
      <c r="E49" s="388">
        <v>98.74</v>
      </c>
      <c r="F49" s="388">
        <f>916/945*100</f>
        <v>96.931216931216937</v>
      </c>
      <c r="G49" s="388">
        <f>916/945*100</f>
        <v>96.931216931216937</v>
      </c>
      <c r="H49" s="388">
        <v>98.74</v>
      </c>
      <c r="I49" s="561">
        <f t="shared" si="5"/>
        <v>101.065723814539</v>
      </c>
      <c r="J49" s="466">
        <f t="shared" si="6"/>
        <v>98.168135437732374</v>
      </c>
      <c r="K49" s="39"/>
      <c r="L49" s="40"/>
    </row>
    <row r="50" spans="1:13">
      <c r="A50" s="77" t="s">
        <v>114</v>
      </c>
      <c r="B50" s="78" t="s">
        <v>115</v>
      </c>
      <c r="C50" s="85"/>
      <c r="D50" s="42"/>
      <c r="E50" s="30"/>
      <c r="F50" s="42"/>
      <c r="G50" s="124"/>
      <c r="H50" s="122"/>
      <c r="I50" s="23"/>
      <c r="J50" s="24"/>
      <c r="K50" s="39"/>
      <c r="L50" s="40"/>
    </row>
    <row r="51" spans="1:13">
      <c r="A51" s="79">
        <v>1</v>
      </c>
      <c r="B51" s="65" t="s">
        <v>116</v>
      </c>
      <c r="C51" s="79" t="s">
        <v>117</v>
      </c>
      <c r="D51" s="42">
        <v>81</v>
      </c>
      <c r="E51" s="30">
        <v>90</v>
      </c>
      <c r="F51" s="110">
        <v>87</v>
      </c>
      <c r="G51" s="375">
        <v>86</v>
      </c>
      <c r="H51" s="124">
        <v>89</v>
      </c>
      <c r="I51" s="23">
        <f>G51/D51*100</f>
        <v>106.17283950617285</v>
      </c>
      <c r="J51" s="24">
        <f>G51/H51*100</f>
        <v>96.629213483146074</v>
      </c>
      <c r="K51" s="39"/>
      <c r="L51" s="40"/>
    </row>
    <row r="52" spans="1:13" ht="22.5">
      <c r="A52" s="79"/>
      <c r="B52" s="82" t="s">
        <v>118</v>
      </c>
      <c r="C52" s="79" t="s">
        <v>117</v>
      </c>
      <c r="D52" s="42">
        <v>6</v>
      </c>
      <c r="E52" s="30">
        <v>3</v>
      </c>
      <c r="F52" s="375">
        <v>6</v>
      </c>
      <c r="G52" s="375">
        <v>6</v>
      </c>
      <c r="H52" s="124">
        <v>3</v>
      </c>
      <c r="I52" s="563">
        <f t="shared" ref="I52:I53" si="7">G52/D52*100</f>
        <v>100</v>
      </c>
      <c r="J52" s="466">
        <f t="shared" ref="J52:J53" si="8">G52/H52*100</f>
        <v>200</v>
      </c>
      <c r="K52" s="39"/>
      <c r="L52" s="40"/>
    </row>
    <row r="53" spans="1:13">
      <c r="A53" s="86"/>
      <c r="B53" s="82" t="s">
        <v>119</v>
      </c>
      <c r="C53" s="80" t="s">
        <v>77</v>
      </c>
      <c r="D53" s="42">
        <v>75</v>
      </c>
      <c r="E53" s="122">
        <f>90/108*100</f>
        <v>83.333333333333343</v>
      </c>
      <c r="F53" s="133">
        <f t="shared" ref="F53" si="9">F51/108*100</f>
        <v>80.555555555555557</v>
      </c>
      <c r="G53" s="133">
        <v>81.132075471698116</v>
      </c>
      <c r="H53" s="122">
        <f>89/106*100</f>
        <v>83.962264150943398</v>
      </c>
      <c r="I53" s="23">
        <f t="shared" si="7"/>
        <v>108.17610062893081</v>
      </c>
      <c r="J53" s="466">
        <f t="shared" si="8"/>
        <v>96.629213483146074</v>
      </c>
      <c r="K53" s="39"/>
      <c r="L53" s="40"/>
      <c r="M53" s="165"/>
    </row>
    <row r="54" spans="1:13" ht="22.5">
      <c r="A54" s="79">
        <v>2</v>
      </c>
      <c r="B54" s="65" t="s">
        <v>120</v>
      </c>
      <c r="C54" s="79" t="s">
        <v>121</v>
      </c>
      <c r="D54" s="42">
        <v>26.69</v>
      </c>
      <c r="E54" s="30">
        <v>29.99</v>
      </c>
      <c r="F54" s="147">
        <f>((16+16+12+22+33)/(861+800+700+745+656))*1000</f>
        <v>26.315789473684209</v>
      </c>
      <c r="G54" s="156">
        <f>((16+16+12+22+33+13)/(861+800+700+745+656+674))*1000</f>
        <v>25.247971145175836</v>
      </c>
      <c r="H54" s="122">
        <v>29.99</v>
      </c>
      <c r="I54" s="23">
        <f>G54-D54</f>
        <v>-1.4420288548241658</v>
      </c>
      <c r="J54" s="24">
        <f>G54/H54*100</f>
        <v>84.187966472743696</v>
      </c>
      <c r="K54" s="39"/>
      <c r="L54" s="40"/>
    </row>
    <row r="55" spans="1:13" ht="22.5">
      <c r="A55" s="79">
        <v>3</v>
      </c>
      <c r="B55" s="65" t="s">
        <v>122</v>
      </c>
      <c r="C55" s="79" t="s">
        <v>121</v>
      </c>
      <c r="D55" s="42">
        <v>37.07</v>
      </c>
      <c r="E55" s="30">
        <v>43.14</v>
      </c>
      <c r="F55" s="147">
        <f>((18+18+14+26+41)/(861+800+700+745+656))*1000</f>
        <v>31.100478468899521</v>
      </c>
      <c r="G55" s="156">
        <f>((18+18+14+26+41+26)/(861+800+700+745+656+674))*1000</f>
        <v>32.236248872858432</v>
      </c>
      <c r="H55" s="122">
        <v>43.14</v>
      </c>
      <c r="I55" s="23">
        <f t="shared" ref="I55:I57" si="10">G55-D55</f>
        <v>-4.8337511271415678</v>
      </c>
      <c r="J55" s="466">
        <f t="shared" ref="J55:J57" si="11">G55/H55*100</f>
        <v>74.724730813301889</v>
      </c>
      <c r="K55" s="39"/>
      <c r="L55" s="40"/>
    </row>
    <row r="56" spans="1:13" ht="22.5">
      <c r="A56" s="79">
        <v>4</v>
      </c>
      <c r="B56" s="65" t="s">
        <v>123</v>
      </c>
      <c r="C56" s="79" t="s">
        <v>124</v>
      </c>
      <c r="D56" s="42">
        <v>20.21</v>
      </c>
      <c r="E56" s="30">
        <v>19.989999999999998</v>
      </c>
      <c r="F56" s="30"/>
      <c r="G56" s="376">
        <v>19.97</v>
      </c>
      <c r="H56" s="122">
        <v>19.989999999999998</v>
      </c>
      <c r="I56" s="23">
        <f t="shared" si="10"/>
        <v>-0.24000000000000199</v>
      </c>
      <c r="J56" s="466">
        <f t="shared" si="11"/>
        <v>99.899949974987507</v>
      </c>
      <c r="K56" s="39"/>
      <c r="L56" s="40"/>
    </row>
    <row r="57" spans="1:13" ht="22.5">
      <c r="A57" s="79">
        <v>5</v>
      </c>
      <c r="B57" s="65" t="s">
        <v>125</v>
      </c>
      <c r="C57" s="79" t="s">
        <v>126</v>
      </c>
      <c r="D57" s="42">
        <v>21.18</v>
      </c>
      <c r="E57" s="30">
        <v>75</v>
      </c>
      <c r="F57" s="96">
        <f>1/3762*100000</f>
        <v>26.581605528973952</v>
      </c>
      <c r="G57" s="385">
        <f>1/4436*100000</f>
        <v>22.54283137962128</v>
      </c>
      <c r="H57" s="122">
        <v>75</v>
      </c>
      <c r="I57" s="23">
        <f t="shared" si="10"/>
        <v>1.3628313796212801</v>
      </c>
      <c r="J57" s="466">
        <f t="shared" si="11"/>
        <v>30.057108506161708</v>
      </c>
      <c r="K57" s="39"/>
      <c r="L57" s="40"/>
    </row>
    <row r="58" spans="1:13" ht="22.5">
      <c r="A58" s="79">
        <v>6</v>
      </c>
      <c r="B58" s="65" t="s">
        <v>127</v>
      </c>
      <c r="C58" s="79" t="s">
        <v>77</v>
      </c>
      <c r="D58" s="42">
        <v>29.17</v>
      </c>
      <c r="E58" s="30">
        <v>94.2</v>
      </c>
      <c r="F58" s="137">
        <f>(702+822+826+1568)/9982*100</f>
        <v>39.250651172109798</v>
      </c>
      <c r="G58" s="387">
        <f>(702+822+826+1568+784)/9982*100</f>
        <v>47.104788619515126</v>
      </c>
      <c r="H58" s="122">
        <v>94.2</v>
      </c>
      <c r="I58" s="23">
        <f>G58-D58</f>
        <v>17.934788619515125</v>
      </c>
      <c r="J58" s="24">
        <f>G58/H58*100</f>
        <v>50.005083460207132</v>
      </c>
      <c r="K58" s="39"/>
      <c r="L58" s="40"/>
    </row>
    <row r="59" spans="1:13" ht="15.75" customHeight="1">
      <c r="A59" s="79">
        <v>7</v>
      </c>
      <c r="B59" s="65" t="s">
        <v>128</v>
      </c>
      <c r="C59" s="79" t="s">
        <v>77</v>
      </c>
      <c r="D59" s="42">
        <v>75.900000000000006</v>
      </c>
      <c r="E59" s="30">
        <v>62.8</v>
      </c>
      <c r="F59" s="147">
        <f>((655+603+550+550+673)/(868+800+700+759+734))*100</f>
        <v>78.502978502978507</v>
      </c>
      <c r="G59" s="386">
        <f>((655+603+550+550+673+485)/(868+800+700+759+734+684))*100</f>
        <v>77.359735973597353</v>
      </c>
      <c r="H59" s="122">
        <v>62.8</v>
      </c>
      <c r="I59" s="23">
        <f t="shared" ref="I59:I65" si="12">G59-D59</f>
        <v>1.459735973597347</v>
      </c>
      <c r="J59" s="466">
        <f t="shared" ref="J59:J65" si="13">G59/H59*100</f>
        <v>123.18429295158815</v>
      </c>
      <c r="K59" s="534" t="s">
        <v>312</v>
      </c>
      <c r="L59" s="535"/>
    </row>
    <row r="60" spans="1:13" ht="15.75" customHeight="1">
      <c r="A60" s="79">
        <v>8</v>
      </c>
      <c r="B60" s="65" t="s">
        <v>129</v>
      </c>
      <c r="C60" s="79" t="s">
        <v>77</v>
      </c>
      <c r="D60" s="42">
        <v>73.260000000000005</v>
      </c>
      <c r="E60" s="30">
        <v>68.5</v>
      </c>
      <c r="F60" s="147">
        <f>((731+562+584+650+592)/(868+800+700+759+734))*100</f>
        <v>80.782180782180774</v>
      </c>
      <c r="G60" s="379">
        <f>((731+562+584+650+592+530)/(868+800+700+759+734+684))*100</f>
        <v>80.286028602860284</v>
      </c>
      <c r="H60" s="122">
        <v>68.5</v>
      </c>
      <c r="I60" s="23">
        <f t="shared" si="12"/>
        <v>7.0260286028602792</v>
      </c>
      <c r="J60" s="466">
        <f t="shared" si="13"/>
        <v>117.20588117205881</v>
      </c>
      <c r="K60" s="536"/>
      <c r="L60" s="537"/>
    </row>
    <row r="61" spans="1:13">
      <c r="A61" s="79">
        <v>9</v>
      </c>
      <c r="B61" s="65" t="s">
        <v>130</v>
      </c>
      <c r="C61" s="79"/>
      <c r="D61" s="42"/>
      <c r="E61" s="30"/>
      <c r="F61" s="375"/>
      <c r="G61" s="376"/>
      <c r="H61" s="122"/>
      <c r="I61" s="23"/>
      <c r="J61" s="466"/>
      <c r="K61" s="39"/>
      <c r="L61" s="40"/>
    </row>
    <row r="62" spans="1:13">
      <c r="A62" s="87"/>
      <c r="B62" s="88" t="s">
        <v>131</v>
      </c>
      <c r="C62" s="87" t="s">
        <v>79</v>
      </c>
      <c r="D62" s="119">
        <v>2.8100270411063725E-2</v>
      </c>
      <c r="E62" s="30">
        <v>2</v>
      </c>
      <c r="F62" s="96">
        <f>30/F11*1000</f>
        <v>6.3951976329241836E-2</v>
      </c>
      <c r="G62" s="384">
        <f>33/469102*1000</f>
        <v>7.0347173962166012E-2</v>
      </c>
      <c r="H62" s="122">
        <v>2</v>
      </c>
      <c r="I62" s="23">
        <f t="shared" si="12"/>
        <v>4.2246903551102291E-2</v>
      </c>
      <c r="J62" s="466">
        <f t="shared" si="13"/>
        <v>3.5173586981083007</v>
      </c>
      <c r="K62" s="39"/>
      <c r="L62" s="40"/>
    </row>
    <row r="63" spans="1:13">
      <c r="A63" s="80"/>
      <c r="B63" s="106" t="s">
        <v>132</v>
      </c>
      <c r="C63" s="80" t="s">
        <v>133</v>
      </c>
      <c r="D63" s="119">
        <v>6.9169896396464559</v>
      </c>
      <c r="E63" s="30">
        <v>45.2</v>
      </c>
      <c r="F63" s="96">
        <f>49/F11*100000</f>
        <v>10.445489467109498</v>
      </c>
      <c r="G63" s="383">
        <f>49/G11*100000</f>
        <v>10.436523572698906</v>
      </c>
      <c r="H63" s="122">
        <v>45.2</v>
      </c>
      <c r="I63" s="23">
        <f t="shared" si="12"/>
        <v>3.5195339330524504</v>
      </c>
      <c r="J63" s="466">
        <f t="shared" si="13"/>
        <v>23.089653921900233</v>
      </c>
      <c r="K63" s="39"/>
      <c r="L63" s="40"/>
    </row>
    <row r="64" spans="1:13">
      <c r="A64" s="80"/>
      <c r="B64" s="82" t="s">
        <v>134</v>
      </c>
      <c r="C64" s="80" t="s">
        <v>77</v>
      </c>
      <c r="D64" s="119">
        <v>0.37892133869688238</v>
      </c>
      <c r="E64" s="30">
        <v>0.4</v>
      </c>
      <c r="F64" s="96">
        <f>1783/F11*100</f>
        <v>0.38008791265012726</v>
      </c>
      <c r="G64" s="151">
        <f>1800/469102*100</f>
        <v>0.38371185797545099</v>
      </c>
      <c r="H64" s="122">
        <v>0.4</v>
      </c>
      <c r="I64" s="23">
        <f t="shared" si="12"/>
        <v>4.7905192785686057E-3</v>
      </c>
      <c r="J64" s="466">
        <f t="shared" si="13"/>
        <v>95.927964493862731</v>
      </c>
      <c r="K64" s="39"/>
      <c r="L64" s="40"/>
    </row>
    <row r="65" spans="1:12">
      <c r="A65" s="79">
        <v>10</v>
      </c>
      <c r="B65" s="65" t="s">
        <v>135</v>
      </c>
      <c r="C65" s="66" t="s">
        <v>77</v>
      </c>
      <c r="D65" s="42">
        <v>93.86</v>
      </c>
      <c r="E65" s="30">
        <v>96.8</v>
      </c>
      <c r="F65" s="375"/>
      <c r="G65" s="375">
        <v>93.5</v>
      </c>
      <c r="H65" s="122">
        <v>96.8</v>
      </c>
      <c r="I65" s="23">
        <f t="shared" si="12"/>
        <v>-0.35999999999999943</v>
      </c>
      <c r="J65" s="466">
        <f t="shared" si="13"/>
        <v>96.590909090909093</v>
      </c>
      <c r="K65" s="39"/>
      <c r="L65" s="40"/>
    </row>
    <row r="66" spans="1:12">
      <c r="A66" s="77" t="s">
        <v>136</v>
      </c>
      <c r="B66" s="78" t="s">
        <v>137</v>
      </c>
      <c r="C66" s="77"/>
      <c r="D66" s="42"/>
      <c r="E66" s="30"/>
      <c r="F66" s="30"/>
      <c r="G66" s="124"/>
      <c r="H66" s="122"/>
      <c r="I66" s="23"/>
      <c r="J66" s="24"/>
      <c r="K66" s="39"/>
      <c r="L66" s="40"/>
    </row>
    <row r="67" spans="1:12">
      <c r="A67" s="77">
        <v>1</v>
      </c>
      <c r="B67" s="78" t="s">
        <v>138</v>
      </c>
      <c r="C67" s="77"/>
      <c r="D67" s="42"/>
      <c r="E67" s="30"/>
      <c r="F67" s="30"/>
      <c r="G67" s="124"/>
      <c r="H67" s="122"/>
      <c r="I67" s="23"/>
      <c r="J67" s="24"/>
      <c r="K67" s="39"/>
      <c r="L67" s="40"/>
    </row>
    <row r="68" spans="1:12">
      <c r="A68" s="79"/>
      <c r="B68" s="65" t="s">
        <v>139</v>
      </c>
      <c r="C68" s="79" t="s">
        <v>76</v>
      </c>
      <c r="D68" s="42">
        <v>56</v>
      </c>
      <c r="E68" s="30">
        <v>50</v>
      </c>
      <c r="F68" s="30">
        <v>56</v>
      </c>
      <c r="G68" s="124">
        <v>56</v>
      </c>
      <c r="H68" s="124">
        <v>50</v>
      </c>
      <c r="I68" s="23">
        <f>G68/D68*100</f>
        <v>100</v>
      </c>
      <c r="J68" s="24">
        <f>G68/H68*100</f>
        <v>112.00000000000001</v>
      </c>
      <c r="K68" s="39"/>
      <c r="L68" s="40"/>
    </row>
    <row r="69" spans="1:12">
      <c r="A69" s="79"/>
      <c r="B69" s="65" t="s">
        <v>140</v>
      </c>
      <c r="C69" s="79" t="s">
        <v>76</v>
      </c>
      <c r="D69" s="42">
        <v>120</v>
      </c>
      <c r="E69" s="30">
        <v>171</v>
      </c>
      <c r="F69" s="30">
        <v>120</v>
      </c>
      <c r="G69" s="124">
        <v>120</v>
      </c>
      <c r="H69" s="124">
        <v>171</v>
      </c>
      <c r="I69" s="23">
        <f t="shared" ref="I69:I76" si="14">G69/D69*100</f>
        <v>100</v>
      </c>
      <c r="J69" s="466">
        <f t="shared" ref="J69:J76" si="15">G69/H69*100</f>
        <v>70.175438596491219</v>
      </c>
      <c r="K69" s="39"/>
      <c r="L69" s="40"/>
    </row>
    <row r="70" spans="1:12">
      <c r="A70" s="79"/>
      <c r="B70" s="65" t="s">
        <v>141</v>
      </c>
      <c r="C70" s="79" t="s">
        <v>76</v>
      </c>
      <c r="D70" s="42">
        <v>82</v>
      </c>
      <c r="E70" s="30">
        <v>82</v>
      </c>
      <c r="F70" s="30">
        <v>82</v>
      </c>
      <c r="G70" s="124">
        <v>82</v>
      </c>
      <c r="H70" s="124"/>
      <c r="I70" s="23">
        <f t="shared" si="14"/>
        <v>100</v>
      </c>
      <c r="J70" s="466"/>
      <c r="K70" s="39"/>
      <c r="L70" s="40"/>
    </row>
    <row r="71" spans="1:12">
      <c r="A71" s="79"/>
      <c r="B71" s="65" t="s">
        <v>142</v>
      </c>
      <c r="C71" s="79" t="s">
        <v>76</v>
      </c>
      <c r="D71" s="42">
        <v>12</v>
      </c>
      <c r="E71" s="30">
        <v>12</v>
      </c>
      <c r="F71" s="30">
        <v>12</v>
      </c>
      <c r="G71" s="124">
        <v>12</v>
      </c>
      <c r="H71" s="124">
        <v>12</v>
      </c>
      <c r="I71" s="23">
        <f t="shared" si="14"/>
        <v>100</v>
      </c>
      <c r="J71" s="466">
        <f t="shared" si="15"/>
        <v>100</v>
      </c>
      <c r="K71" s="39"/>
      <c r="L71" s="40"/>
    </row>
    <row r="72" spans="1:12">
      <c r="A72" s="77">
        <v>2</v>
      </c>
      <c r="B72" s="78" t="s">
        <v>143</v>
      </c>
      <c r="C72" s="77"/>
      <c r="D72" s="42"/>
      <c r="E72" s="30"/>
      <c r="F72" s="30"/>
      <c r="G72" s="124"/>
      <c r="H72" s="124"/>
      <c r="I72" s="23"/>
      <c r="J72" s="466"/>
      <c r="K72" s="39"/>
      <c r="L72" s="40"/>
    </row>
    <row r="73" spans="1:12">
      <c r="A73" s="79"/>
      <c r="B73" s="65" t="s">
        <v>139</v>
      </c>
      <c r="C73" s="79" t="s">
        <v>76</v>
      </c>
      <c r="D73" s="42">
        <v>10</v>
      </c>
      <c r="E73" s="30">
        <v>20</v>
      </c>
      <c r="F73" s="30">
        <v>0</v>
      </c>
      <c r="G73" s="124">
        <v>0</v>
      </c>
      <c r="H73" s="124">
        <v>20</v>
      </c>
      <c r="I73" s="23">
        <f t="shared" si="14"/>
        <v>0</v>
      </c>
      <c r="J73" s="466">
        <f t="shared" si="15"/>
        <v>0</v>
      </c>
      <c r="K73" s="39"/>
      <c r="L73" s="40"/>
    </row>
    <row r="74" spans="1:12">
      <c r="A74" s="79"/>
      <c r="B74" s="65" t="s">
        <v>140</v>
      </c>
      <c r="C74" s="79" t="s">
        <v>76</v>
      </c>
      <c r="D74" s="42">
        <v>80</v>
      </c>
      <c r="E74" s="30">
        <v>15</v>
      </c>
      <c r="F74" s="30">
        <v>60</v>
      </c>
      <c r="G74" s="124">
        <v>60</v>
      </c>
      <c r="H74" s="124">
        <v>60</v>
      </c>
      <c r="I74" s="23">
        <f t="shared" si="14"/>
        <v>75</v>
      </c>
      <c r="J74" s="466">
        <f t="shared" si="15"/>
        <v>100</v>
      </c>
      <c r="K74" s="39"/>
      <c r="L74" s="40"/>
    </row>
    <row r="75" spans="1:12" ht="33.75">
      <c r="A75" s="79"/>
      <c r="B75" s="65" t="s">
        <v>144</v>
      </c>
      <c r="C75" s="79" t="s">
        <v>76</v>
      </c>
      <c r="D75" s="42">
        <v>118</v>
      </c>
      <c r="E75" s="30">
        <v>0</v>
      </c>
      <c r="F75" s="30">
        <v>0</v>
      </c>
      <c r="G75" s="124">
        <v>0</v>
      </c>
      <c r="H75" s="124">
        <v>0</v>
      </c>
      <c r="I75" s="23">
        <f t="shared" si="14"/>
        <v>0</v>
      </c>
      <c r="J75" s="466"/>
      <c r="K75" s="39"/>
      <c r="L75" s="40"/>
    </row>
    <row r="76" spans="1:12" ht="22.5">
      <c r="A76" s="51"/>
      <c r="B76" s="91" t="s">
        <v>145</v>
      </c>
      <c r="C76" s="92" t="s">
        <v>146</v>
      </c>
      <c r="D76" s="127">
        <v>2062</v>
      </c>
      <c r="E76" s="124">
        <v>2200</v>
      </c>
      <c r="F76" s="124">
        <v>2245</v>
      </c>
      <c r="G76" s="124">
        <v>2315</v>
      </c>
      <c r="H76" s="124">
        <v>2200</v>
      </c>
      <c r="I76" s="23">
        <f t="shared" si="14"/>
        <v>112.26964112512124</v>
      </c>
      <c r="J76" s="466">
        <f t="shared" si="15"/>
        <v>105.22727272727272</v>
      </c>
      <c r="K76" s="39"/>
      <c r="L76" s="40"/>
    </row>
    <row r="77" spans="1:12" ht="15.75">
      <c r="A77" s="481" t="s">
        <v>33</v>
      </c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</row>
  </sheetData>
  <mergeCells count="14">
    <mergeCell ref="L5:L6"/>
    <mergeCell ref="B9:L9"/>
    <mergeCell ref="A77:L77"/>
    <mergeCell ref="A1:B1"/>
    <mergeCell ref="A2:L2"/>
    <mergeCell ref="A3:L3"/>
    <mergeCell ref="A5:A6"/>
    <mergeCell ref="B5:B6"/>
    <mergeCell ref="C5:C6"/>
    <mergeCell ref="D5:D6"/>
    <mergeCell ref="E5:H5"/>
    <mergeCell ref="I5:J5"/>
    <mergeCell ref="K5:K6"/>
    <mergeCell ref="K59:L60"/>
  </mergeCells>
  <pageMargins left="0.2" right="0.2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4"/>
  <sheetViews>
    <sheetView workbookViewId="0">
      <selection activeCell="F60" sqref="F60"/>
    </sheetView>
  </sheetViews>
  <sheetFormatPr defaultColWidth="8.875" defaultRowHeight="15.75"/>
  <cols>
    <col min="1" max="1" width="4" style="192" customWidth="1"/>
    <col min="2" max="2" width="35.25" style="332" customWidth="1"/>
    <col min="3" max="3" width="6.125" style="333" customWidth="1"/>
    <col min="4" max="4" width="6.375" style="189" customWidth="1"/>
    <col min="5" max="5" width="9.5" style="189" customWidth="1"/>
    <col min="6" max="6" width="8.125" style="189" customWidth="1"/>
    <col min="7" max="7" width="7.125" style="189" customWidth="1"/>
    <col min="8" max="8" width="7.375" style="189" customWidth="1"/>
    <col min="9" max="9" width="8.125" style="189" customWidth="1"/>
    <col min="10" max="10" width="7.375" style="189" customWidth="1"/>
    <col min="11" max="11" width="9.25" style="189" customWidth="1"/>
    <col min="12" max="12" width="8" style="189" customWidth="1"/>
    <col min="13" max="13" width="12" style="189" customWidth="1"/>
    <col min="14" max="14" width="6.625" style="195" customWidth="1"/>
    <col min="15" max="24" width="8.875" style="189" customWidth="1"/>
    <col min="25" max="16384" width="8.875" style="189"/>
  </cols>
  <sheetData>
    <row r="1" spans="1:19" ht="18.75">
      <c r="A1" s="515" t="s">
        <v>164</v>
      </c>
      <c r="B1" s="515"/>
      <c r="C1" s="184"/>
      <c r="D1" s="185"/>
      <c r="E1" s="185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  <c r="S1" s="188"/>
    </row>
    <row r="2" spans="1:19">
      <c r="A2" s="516" t="s">
        <v>165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190"/>
      <c r="P2" s="190"/>
      <c r="Q2" s="190"/>
      <c r="R2" s="190"/>
      <c r="S2" s="190"/>
    </row>
    <row r="3" spans="1:19">
      <c r="A3" s="517" t="s">
        <v>166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191"/>
      <c r="P3" s="191"/>
      <c r="Q3" s="191"/>
      <c r="R3" s="191"/>
      <c r="S3" s="191"/>
    </row>
    <row r="4" spans="1:19" ht="19.5" thickBot="1">
      <c r="B4" s="193"/>
      <c r="C4" s="194"/>
      <c r="D4" s="185"/>
      <c r="E4" s="185"/>
      <c r="F4" s="185"/>
      <c r="G4" s="185"/>
      <c r="H4" s="185"/>
      <c r="I4" s="185"/>
    </row>
    <row r="5" spans="1:19">
      <c r="A5" s="518" t="s">
        <v>9</v>
      </c>
      <c r="B5" s="520" t="s">
        <v>10</v>
      </c>
      <c r="C5" s="520" t="s">
        <v>11</v>
      </c>
      <c r="D5" s="522" t="s">
        <v>167</v>
      </c>
      <c r="E5" s="524" t="s">
        <v>168</v>
      </c>
      <c r="F5" s="526" t="s">
        <v>169</v>
      </c>
      <c r="G5" s="527"/>
      <c r="H5" s="528"/>
      <c r="I5" s="529" t="s">
        <v>0</v>
      </c>
      <c r="J5" s="530"/>
      <c r="K5" s="530"/>
      <c r="L5" s="531"/>
      <c r="M5" s="509" t="s">
        <v>170</v>
      </c>
      <c r="N5" s="511" t="s">
        <v>2</v>
      </c>
    </row>
    <row r="6" spans="1:19" ht="76.5">
      <c r="A6" s="519"/>
      <c r="B6" s="521"/>
      <c r="C6" s="521"/>
      <c r="D6" s="523"/>
      <c r="E6" s="525"/>
      <c r="F6" s="196" t="s">
        <v>171</v>
      </c>
      <c r="G6" s="196" t="s">
        <v>159</v>
      </c>
      <c r="H6" s="196" t="s">
        <v>4</v>
      </c>
      <c r="I6" s="197" t="s">
        <v>172</v>
      </c>
      <c r="J6" s="197" t="s">
        <v>173</v>
      </c>
      <c r="K6" s="197" t="s">
        <v>174</v>
      </c>
      <c r="L6" s="197" t="s">
        <v>175</v>
      </c>
      <c r="M6" s="510"/>
      <c r="N6" s="512"/>
    </row>
    <row r="7" spans="1:19" s="204" customFormat="1" ht="18.75">
      <c r="A7" s="198" t="s">
        <v>5</v>
      </c>
      <c r="B7" s="199" t="s">
        <v>6</v>
      </c>
      <c r="C7" s="200" t="s">
        <v>7</v>
      </c>
      <c r="D7" s="201">
        <v>1</v>
      </c>
      <c r="E7" s="201">
        <v>2</v>
      </c>
      <c r="F7" s="201">
        <v>4</v>
      </c>
      <c r="G7" s="201">
        <v>5</v>
      </c>
      <c r="H7" s="201">
        <v>6</v>
      </c>
      <c r="I7" s="201">
        <v>7</v>
      </c>
      <c r="J7" s="201">
        <v>7</v>
      </c>
      <c r="K7" s="202">
        <v>8</v>
      </c>
      <c r="L7" s="202">
        <v>9</v>
      </c>
      <c r="M7" s="202">
        <v>10</v>
      </c>
      <c r="N7" s="203">
        <v>11</v>
      </c>
    </row>
    <row r="8" spans="1:19" hidden="1">
      <c r="A8" s="205" t="s">
        <v>5</v>
      </c>
      <c r="B8" s="206" t="s">
        <v>176</v>
      </c>
      <c r="C8" s="207"/>
      <c r="D8" s="208"/>
      <c r="E8" s="208"/>
      <c r="F8" s="209"/>
      <c r="G8" s="209"/>
      <c r="H8" s="209"/>
      <c r="I8" s="209"/>
      <c r="J8" s="208"/>
      <c r="K8" s="210"/>
      <c r="L8" s="210"/>
      <c r="M8" s="210"/>
      <c r="N8" s="211"/>
    </row>
    <row r="9" spans="1:19" s="217" customFormat="1" ht="31.5" hidden="1">
      <c r="A9" s="205">
        <v>1</v>
      </c>
      <c r="B9" s="206" t="s">
        <v>177</v>
      </c>
      <c r="C9" s="212" t="s">
        <v>77</v>
      </c>
      <c r="D9" s="213"/>
      <c r="E9" s="214" t="s">
        <v>178</v>
      </c>
      <c r="F9" s="215">
        <v>7.48</v>
      </c>
      <c r="G9" s="213"/>
      <c r="H9" s="209"/>
      <c r="I9" s="209"/>
      <c r="J9" s="213"/>
      <c r="K9" s="216"/>
      <c r="L9" s="216"/>
      <c r="M9" s="216"/>
      <c r="N9" s="211"/>
    </row>
    <row r="10" spans="1:19" s="226" customFormat="1" ht="31.5" hidden="1">
      <c r="A10" s="205" t="s">
        <v>179</v>
      </c>
      <c r="B10" s="218" t="s">
        <v>180</v>
      </c>
      <c r="C10" s="212" t="s">
        <v>77</v>
      </c>
      <c r="D10" s="219"/>
      <c r="E10" s="220">
        <v>100</v>
      </c>
      <c r="F10" s="221">
        <v>100</v>
      </c>
      <c r="G10" s="219"/>
      <c r="H10" s="222"/>
      <c r="I10" s="222"/>
      <c r="J10" s="223"/>
      <c r="K10" s="224"/>
      <c r="L10" s="224"/>
      <c r="M10" s="224"/>
      <c r="N10" s="225"/>
    </row>
    <row r="11" spans="1:19" s="233" customFormat="1" hidden="1">
      <c r="A11" s="227"/>
      <c r="B11" s="228" t="s">
        <v>181</v>
      </c>
      <c r="C11" s="229"/>
      <c r="D11" s="213"/>
      <c r="E11" s="230"/>
      <c r="F11" s="231"/>
      <c r="G11" s="231"/>
      <c r="H11" s="231"/>
      <c r="I11" s="231"/>
      <c r="J11" s="223"/>
      <c r="K11" s="224"/>
      <c r="L11" s="224"/>
      <c r="M11" s="224"/>
      <c r="N11" s="232"/>
    </row>
    <row r="12" spans="1:19" s="242" customFormat="1" hidden="1">
      <c r="A12" s="227"/>
      <c r="B12" s="234" t="s">
        <v>182</v>
      </c>
      <c r="C12" s="212" t="s">
        <v>77</v>
      </c>
      <c r="D12" s="235"/>
      <c r="E12" s="236">
        <v>20</v>
      </c>
      <c r="F12" s="237">
        <v>15.1</v>
      </c>
      <c r="G12" s="238"/>
      <c r="H12" s="236"/>
      <c r="I12" s="236"/>
      <c r="J12" s="239"/>
      <c r="K12" s="240"/>
      <c r="L12" s="240"/>
      <c r="M12" s="240"/>
      <c r="N12" s="241"/>
    </row>
    <row r="13" spans="1:19" s="242" customFormat="1" hidden="1">
      <c r="A13" s="227"/>
      <c r="B13" s="234" t="s">
        <v>183</v>
      </c>
      <c r="C13" s="212" t="s">
        <v>77</v>
      </c>
      <c r="D13" s="235"/>
      <c r="E13" s="236">
        <v>38</v>
      </c>
      <c r="F13" s="237">
        <v>50.03</v>
      </c>
      <c r="G13" s="237"/>
      <c r="H13" s="236"/>
      <c r="I13" s="236"/>
      <c r="J13" s="239"/>
      <c r="K13" s="240"/>
      <c r="L13" s="240"/>
      <c r="M13" s="240"/>
      <c r="N13" s="241"/>
    </row>
    <row r="14" spans="1:19" s="242" customFormat="1" hidden="1">
      <c r="A14" s="227"/>
      <c r="B14" s="234" t="s">
        <v>184</v>
      </c>
      <c r="C14" s="212" t="s">
        <v>77</v>
      </c>
      <c r="D14" s="235"/>
      <c r="E14" s="236">
        <v>42</v>
      </c>
      <c r="F14" s="237">
        <v>34.869999999999997</v>
      </c>
      <c r="G14" s="237"/>
      <c r="H14" s="236"/>
      <c r="I14" s="236"/>
      <c r="J14" s="239"/>
      <c r="K14" s="240"/>
      <c r="L14" s="240"/>
      <c r="M14" s="240"/>
      <c r="N14" s="241"/>
    </row>
    <row r="15" spans="1:19" s="242" customFormat="1" ht="24" hidden="1">
      <c r="A15" s="205" t="s">
        <v>185</v>
      </c>
      <c r="B15" s="218" t="s">
        <v>186</v>
      </c>
      <c r="C15" s="243" t="s">
        <v>187</v>
      </c>
      <c r="D15" s="244"/>
      <c r="E15" s="245">
        <v>40</v>
      </c>
      <c r="F15" s="246">
        <v>40.08</v>
      </c>
      <c r="G15" s="244"/>
      <c r="H15" s="244"/>
      <c r="I15" s="244"/>
      <c r="J15" s="244"/>
      <c r="K15" s="247"/>
      <c r="L15" s="247"/>
      <c r="M15" s="247"/>
      <c r="N15" s="225"/>
    </row>
    <row r="16" spans="1:19" s="242" customFormat="1" hidden="1">
      <c r="A16" s="205">
        <v>2</v>
      </c>
      <c r="B16" s="218" t="s">
        <v>188</v>
      </c>
      <c r="C16" s="243" t="s">
        <v>189</v>
      </c>
      <c r="D16" s="236"/>
      <c r="E16" s="245">
        <v>200000</v>
      </c>
      <c r="F16" s="248">
        <v>219999.95</v>
      </c>
      <c r="G16" s="236"/>
      <c r="H16" s="236"/>
      <c r="I16" s="236"/>
      <c r="J16" s="236"/>
      <c r="K16" s="249"/>
      <c r="L16" s="249"/>
      <c r="M16" s="249"/>
      <c r="N16" s="241"/>
    </row>
    <row r="17" spans="1:19" s="242" customFormat="1" ht="18.75" hidden="1">
      <c r="A17" s="205"/>
      <c r="B17" s="250" t="s">
        <v>190</v>
      </c>
      <c r="C17" s="251" t="s">
        <v>191</v>
      </c>
      <c r="D17" s="236"/>
      <c r="E17" s="245">
        <v>4500</v>
      </c>
      <c r="F17" s="248">
        <v>7570</v>
      </c>
      <c r="G17" s="236"/>
      <c r="H17" s="236"/>
      <c r="I17" s="236"/>
      <c r="J17" s="236"/>
      <c r="K17" s="249"/>
      <c r="L17" s="249"/>
      <c r="M17" s="249"/>
      <c r="N17" s="241"/>
    </row>
    <row r="18" spans="1:19" s="242" customFormat="1" hidden="1">
      <c r="A18" s="227"/>
      <c r="B18" s="252" t="s">
        <v>192</v>
      </c>
      <c r="C18" s="253" t="s">
        <v>191</v>
      </c>
      <c r="D18" s="236"/>
      <c r="E18" s="254"/>
      <c r="F18" s="236">
        <v>600</v>
      </c>
      <c r="G18" s="236"/>
      <c r="H18" s="236"/>
      <c r="I18" s="236"/>
      <c r="J18" s="236"/>
      <c r="K18" s="249"/>
      <c r="L18" s="249"/>
      <c r="M18" s="249"/>
      <c r="N18" s="241"/>
    </row>
    <row r="19" spans="1:19" s="242" customFormat="1" hidden="1">
      <c r="A19" s="205"/>
      <c r="B19" s="250" t="s">
        <v>193</v>
      </c>
      <c r="C19" s="251" t="s">
        <v>77</v>
      </c>
      <c r="D19" s="236"/>
      <c r="E19" s="255">
        <v>50</v>
      </c>
      <c r="F19" s="214">
        <v>50.07</v>
      </c>
      <c r="G19" s="236"/>
      <c r="H19" s="236"/>
      <c r="I19" s="236"/>
      <c r="J19" s="236"/>
      <c r="K19" s="249"/>
      <c r="L19" s="249"/>
      <c r="M19" s="249"/>
      <c r="N19" s="241"/>
    </row>
    <row r="20" spans="1:19" s="259" customFormat="1" ht="18.75" hidden="1">
      <c r="A20" s="205"/>
      <c r="B20" s="250" t="s">
        <v>194</v>
      </c>
      <c r="C20" s="251" t="s">
        <v>117</v>
      </c>
      <c r="D20" s="256"/>
      <c r="E20" s="255">
        <v>38</v>
      </c>
      <c r="F20" s="255">
        <v>39</v>
      </c>
      <c r="G20" s="257"/>
      <c r="H20" s="223"/>
      <c r="I20" s="223"/>
      <c r="J20" s="223"/>
      <c r="K20" s="258"/>
      <c r="L20" s="258"/>
      <c r="M20" s="258"/>
      <c r="N20" s="211"/>
    </row>
    <row r="21" spans="1:19" s="217" customFormat="1" ht="31.5" hidden="1">
      <c r="A21" s="205"/>
      <c r="B21" s="252" t="s">
        <v>195</v>
      </c>
      <c r="C21" s="253" t="s">
        <v>196</v>
      </c>
      <c r="D21" s="245"/>
      <c r="E21" s="260"/>
      <c r="F21" s="245">
        <v>4</v>
      </c>
      <c r="G21" s="245"/>
      <c r="H21" s="245"/>
      <c r="I21" s="245"/>
      <c r="J21" s="223"/>
      <c r="K21" s="258"/>
      <c r="L21" s="258"/>
      <c r="M21" s="258"/>
      <c r="N21" s="211"/>
      <c r="P21" s="261"/>
      <c r="Q21" s="261"/>
      <c r="R21" s="261"/>
      <c r="S21" s="261"/>
    </row>
    <row r="22" spans="1:19" s="217" customFormat="1" hidden="1">
      <c r="A22" s="205"/>
      <c r="B22" s="250" t="s">
        <v>197</v>
      </c>
      <c r="C22" s="251" t="s">
        <v>77</v>
      </c>
      <c r="D22" s="245"/>
      <c r="E22" s="257" t="s">
        <v>198</v>
      </c>
      <c r="F22" s="223">
        <v>40.625</v>
      </c>
      <c r="G22" s="245"/>
      <c r="H22" s="245"/>
      <c r="I22" s="245"/>
      <c r="J22" s="223"/>
      <c r="K22" s="224"/>
      <c r="L22" s="224"/>
      <c r="M22" s="224"/>
      <c r="N22" s="225"/>
      <c r="P22" s="261"/>
      <c r="Q22" s="261"/>
      <c r="R22" s="261"/>
      <c r="S22" s="261"/>
    </row>
    <row r="23" spans="1:19" s="266" customFormat="1" hidden="1">
      <c r="A23" s="205">
        <v>3</v>
      </c>
      <c r="B23" s="218" t="s">
        <v>199</v>
      </c>
      <c r="C23" s="243" t="s">
        <v>200</v>
      </c>
      <c r="D23" s="262"/>
      <c r="E23" s="223">
        <v>2185</v>
      </c>
      <c r="F23" s="245">
        <v>2150</v>
      </c>
      <c r="G23" s="262"/>
      <c r="H23" s="262"/>
      <c r="I23" s="262"/>
      <c r="J23" s="263"/>
      <c r="K23" s="264"/>
      <c r="L23" s="264"/>
      <c r="M23" s="264"/>
      <c r="N23" s="265"/>
      <c r="P23" s="261"/>
      <c r="Q23" s="261"/>
      <c r="R23" s="261"/>
      <c r="S23" s="261"/>
    </row>
    <row r="24" spans="1:19" s="266" customFormat="1" ht="24" hidden="1">
      <c r="A24" s="205">
        <v>4</v>
      </c>
      <c r="B24" s="218" t="s">
        <v>201</v>
      </c>
      <c r="C24" s="243" t="s">
        <v>202</v>
      </c>
      <c r="D24" s="257"/>
      <c r="E24" s="223">
        <v>7.2</v>
      </c>
      <c r="F24" s="267">
        <v>15.2</v>
      </c>
      <c r="G24" s="268"/>
      <c r="H24" s="245"/>
      <c r="I24" s="245"/>
      <c r="J24" s="268"/>
      <c r="K24" s="269"/>
      <c r="L24" s="269"/>
      <c r="M24" s="269"/>
      <c r="N24" s="225"/>
      <c r="P24" s="270"/>
      <c r="Q24" s="270"/>
      <c r="R24" s="270"/>
      <c r="S24" s="270"/>
    </row>
    <row r="25" spans="1:19" s="266" customFormat="1" hidden="1">
      <c r="A25" s="205" t="s">
        <v>6</v>
      </c>
      <c r="B25" s="206" t="s">
        <v>203</v>
      </c>
      <c r="C25" s="243"/>
      <c r="D25" s="255"/>
      <c r="E25" s="271"/>
      <c r="F25" s="255"/>
      <c r="G25" s="255"/>
      <c r="H25" s="245"/>
      <c r="I25" s="245"/>
      <c r="J25" s="255"/>
      <c r="K25" s="272"/>
      <c r="L25" s="272"/>
      <c r="M25" s="272"/>
      <c r="N25" s="225"/>
      <c r="P25" s="270"/>
      <c r="Q25" s="270"/>
      <c r="R25" s="270"/>
      <c r="S25" s="270"/>
    </row>
    <row r="26" spans="1:19" s="266" customFormat="1" hidden="1">
      <c r="A26" s="205">
        <v>5</v>
      </c>
      <c r="B26" s="206" t="s">
        <v>204</v>
      </c>
      <c r="C26" s="243"/>
      <c r="D26" s="257"/>
      <c r="E26" s="271"/>
      <c r="F26" s="268"/>
      <c r="G26" s="268"/>
      <c r="H26" s="245"/>
      <c r="I26" s="245"/>
      <c r="J26" s="223"/>
      <c r="K26" s="224"/>
      <c r="L26" s="224"/>
      <c r="M26" s="224"/>
      <c r="N26" s="225"/>
      <c r="P26" s="270"/>
      <c r="Q26" s="270"/>
      <c r="R26" s="270"/>
      <c r="S26" s="270"/>
    </row>
    <row r="27" spans="1:19" s="217" customFormat="1" ht="31.5" hidden="1">
      <c r="A27" s="227"/>
      <c r="B27" s="273" t="s">
        <v>205</v>
      </c>
      <c r="C27" s="212" t="s">
        <v>117</v>
      </c>
      <c r="D27" s="245"/>
      <c r="E27" s="274"/>
      <c r="F27" s="275">
        <v>96</v>
      </c>
      <c r="G27" s="245"/>
      <c r="H27" s="245"/>
      <c r="I27" s="245"/>
      <c r="J27" s="245"/>
      <c r="K27" s="276"/>
      <c r="L27" s="276"/>
      <c r="M27" s="276"/>
      <c r="N27" s="225"/>
    </row>
    <row r="28" spans="1:19" s="217" customFormat="1" ht="31.5" hidden="1">
      <c r="A28" s="227"/>
      <c r="B28" s="273" t="s">
        <v>206</v>
      </c>
      <c r="C28" s="212" t="s">
        <v>77</v>
      </c>
      <c r="D28" s="223"/>
      <c r="E28" s="274"/>
      <c r="F28" s="275">
        <v>100</v>
      </c>
      <c r="G28" s="256"/>
      <c r="H28" s="223"/>
      <c r="I28" s="223"/>
      <c r="J28" s="267"/>
      <c r="K28" s="277"/>
      <c r="L28" s="277"/>
      <c r="M28" s="277"/>
      <c r="N28" s="211"/>
      <c r="P28" s="278"/>
      <c r="Q28" s="278"/>
      <c r="R28" s="278"/>
      <c r="S28" s="278"/>
    </row>
    <row r="29" spans="1:19" ht="31.5" hidden="1">
      <c r="A29" s="227"/>
      <c r="B29" s="273" t="s">
        <v>207</v>
      </c>
      <c r="C29" s="212" t="s">
        <v>77</v>
      </c>
      <c r="D29" s="256"/>
      <c r="E29" s="279" t="s">
        <v>208</v>
      </c>
      <c r="F29" s="237">
        <v>93.68</v>
      </c>
      <c r="G29" s="257"/>
      <c r="H29" s="223"/>
      <c r="I29" s="223"/>
      <c r="J29" s="257"/>
      <c r="K29" s="280"/>
      <c r="L29" s="280"/>
      <c r="M29" s="280"/>
      <c r="N29" s="241"/>
      <c r="P29" s="278"/>
      <c r="Q29" s="278"/>
      <c r="R29" s="278"/>
      <c r="S29" s="278"/>
    </row>
    <row r="30" spans="1:19" s="217" customFormat="1" hidden="1">
      <c r="A30" s="227"/>
      <c r="B30" s="273" t="s">
        <v>209</v>
      </c>
      <c r="C30" s="212" t="s">
        <v>77</v>
      </c>
      <c r="D30" s="244"/>
      <c r="E30" s="279" t="s">
        <v>210</v>
      </c>
      <c r="F30" s="281">
        <v>95.1</v>
      </c>
      <c r="G30" s="223"/>
      <c r="H30" s="282"/>
      <c r="I30" s="282"/>
      <c r="J30" s="244"/>
      <c r="K30" s="247"/>
      <c r="L30" s="247"/>
      <c r="M30" s="247"/>
      <c r="N30" s="225"/>
    </row>
    <row r="31" spans="1:19" s="217" customFormat="1" ht="31.5" hidden="1">
      <c r="A31" s="227"/>
      <c r="B31" s="273" t="s">
        <v>211</v>
      </c>
      <c r="C31" s="212" t="s">
        <v>77</v>
      </c>
      <c r="D31" s="244"/>
      <c r="E31" s="239" t="s">
        <v>210</v>
      </c>
      <c r="F31" s="281">
        <v>95.5</v>
      </c>
      <c r="G31" s="223"/>
      <c r="H31" s="282"/>
      <c r="I31" s="282"/>
      <c r="J31" s="244"/>
      <c r="K31" s="247"/>
      <c r="L31" s="247"/>
      <c r="M31" s="247"/>
      <c r="N31" s="225"/>
    </row>
    <row r="32" spans="1:19" s="217" customFormat="1" ht="31.5" hidden="1">
      <c r="A32" s="227"/>
      <c r="B32" s="273" t="s">
        <v>212</v>
      </c>
      <c r="C32" s="212" t="s">
        <v>77</v>
      </c>
      <c r="D32" s="236"/>
      <c r="E32" s="238" t="s">
        <v>213</v>
      </c>
      <c r="F32" s="281">
        <v>85.2</v>
      </c>
      <c r="G32" s="275"/>
      <c r="H32" s="282"/>
      <c r="I32" s="282"/>
      <c r="J32" s="275"/>
      <c r="K32" s="283"/>
      <c r="L32" s="283"/>
      <c r="M32" s="283"/>
      <c r="N32" s="241"/>
    </row>
    <row r="33" spans="1:19" s="217" customFormat="1" hidden="1">
      <c r="A33" s="205">
        <v>6</v>
      </c>
      <c r="B33" s="206" t="s">
        <v>214</v>
      </c>
      <c r="C33" s="243"/>
      <c r="D33" s="238"/>
      <c r="E33" s="271"/>
      <c r="F33" s="238"/>
      <c r="G33" s="238"/>
      <c r="H33" s="238"/>
      <c r="I33" s="238"/>
      <c r="J33" s="238"/>
      <c r="K33" s="284"/>
      <c r="L33" s="284"/>
      <c r="M33" s="284"/>
      <c r="N33" s="241"/>
      <c r="P33" s="285"/>
      <c r="Q33" s="285"/>
      <c r="R33" s="285"/>
      <c r="S33" s="285"/>
    </row>
    <row r="34" spans="1:19" s="217" customFormat="1" ht="63" hidden="1">
      <c r="A34" s="227"/>
      <c r="B34" s="273" t="s">
        <v>215</v>
      </c>
      <c r="C34" s="212" t="s">
        <v>196</v>
      </c>
      <c r="D34" s="279"/>
      <c r="E34" s="236">
        <v>108</v>
      </c>
      <c r="F34" s="286">
        <v>108</v>
      </c>
      <c r="G34" s="287"/>
      <c r="H34" s="288"/>
      <c r="I34" s="288"/>
      <c r="J34" s="238"/>
      <c r="K34" s="284"/>
      <c r="L34" s="284"/>
      <c r="M34" s="284"/>
      <c r="N34" s="241"/>
      <c r="P34" s="285"/>
      <c r="Q34" s="285"/>
      <c r="R34" s="285"/>
      <c r="S34" s="285"/>
    </row>
    <row r="35" spans="1:19" s="217" customFormat="1" hidden="1">
      <c r="A35" s="227"/>
      <c r="B35" s="273" t="s">
        <v>216</v>
      </c>
      <c r="C35" s="212" t="s">
        <v>77</v>
      </c>
      <c r="D35" s="279"/>
      <c r="E35" s="288">
        <v>38.4</v>
      </c>
      <c r="F35" s="281">
        <v>49.112426035502956</v>
      </c>
      <c r="G35" s="281"/>
      <c r="H35" s="288"/>
      <c r="I35" s="288"/>
      <c r="J35" s="238"/>
      <c r="K35" s="284"/>
      <c r="L35" s="284"/>
      <c r="M35" s="284"/>
      <c r="N35" s="241"/>
    </row>
    <row r="36" spans="1:19" s="217" customFormat="1" hidden="1">
      <c r="A36" s="289"/>
      <c r="B36" s="290" t="s">
        <v>217</v>
      </c>
      <c r="C36" s="229" t="s">
        <v>77</v>
      </c>
      <c r="D36" s="237"/>
      <c r="E36" s="281">
        <v>37</v>
      </c>
      <c r="F36" s="237">
        <v>51.327433628318587</v>
      </c>
      <c r="G36" s="237"/>
      <c r="H36" s="237"/>
      <c r="I36" s="237"/>
      <c r="J36" s="237"/>
      <c r="K36" s="291"/>
      <c r="L36" s="291"/>
      <c r="M36" s="291"/>
      <c r="N36" s="241"/>
    </row>
    <row r="37" spans="1:19" s="217" customFormat="1" hidden="1">
      <c r="A37" s="289"/>
      <c r="B37" s="290" t="s">
        <v>218</v>
      </c>
      <c r="C37" s="229" t="s">
        <v>77</v>
      </c>
      <c r="D37" s="237"/>
      <c r="E37" s="281">
        <v>44</v>
      </c>
      <c r="F37" s="237">
        <v>60.215053763440864</v>
      </c>
      <c r="G37" s="237"/>
      <c r="H37" s="238"/>
      <c r="I37" s="238"/>
      <c r="J37" s="237"/>
      <c r="K37" s="291"/>
      <c r="L37" s="291"/>
      <c r="M37" s="291"/>
      <c r="N37" s="241"/>
      <c r="P37" s="285"/>
      <c r="Q37" s="285"/>
      <c r="R37" s="285"/>
      <c r="S37" s="285"/>
    </row>
    <row r="38" spans="1:19" s="217" customFormat="1" hidden="1">
      <c r="A38" s="289"/>
      <c r="B38" s="290" t="s">
        <v>219</v>
      </c>
      <c r="C38" s="229" t="s">
        <v>77</v>
      </c>
      <c r="D38" s="244"/>
      <c r="E38" s="281">
        <v>33</v>
      </c>
      <c r="F38" s="281">
        <v>38.532110091743121</v>
      </c>
      <c r="G38" s="223"/>
      <c r="H38" s="282"/>
      <c r="I38" s="282"/>
      <c r="J38" s="244"/>
      <c r="K38" s="247"/>
      <c r="L38" s="247"/>
      <c r="M38" s="247"/>
      <c r="N38" s="225"/>
    </row>
    <row r="39" spans="1:19" s="217" customFormat="1" hidden="1">
      <c r="A39" s="289"/>
      <c r="B39" s="290" t="s">
        <v>220</v>
      </c>
      <c r="C39" s="229" t="s">
        <v>77</v>
      </c>
      <c r="D39" s="236"/>
      <c r="E39" s="281">
        <v>39</v>
      </c>
      <c r="F39" s="288">
        <v>43.478260869565219</v>
      </c>
      <c r="G39" s="236"/>
      <c r="H39" s="292"/>
      <c r="I39" s="288"/>
      <c r="J39" s="236"/>
      <c r="K39" s="249"/>
      <c r="L39" s="249"/>
      <c r="M39" s="249"/>
      <c r="N39" s="241"/>
    </row>
    <row r="40" spans="1:19" s="217" customFormat="1" hidden="1">
      <c r="A40" s="289"/>
      <c r="B40" s="293" t="s">
        <v>221</v>
      </c>
      <c r="C40" s="212" t="s">
        <v>222</v>
      </c>
      <c r="D40" s="294"/>
      <c r="E40" s="281"/>
      <c r="F40" s="275">
        <v>17</v>
      </c>
      <c r="G40" s="294"/>
      <c r="H40" s="295"/>
      <c r="I40" s="288"/>
      <c r="J40" s="281"/>
      <c r="K40" s="296"/>
      <c r="L40" s="296"/>
      <c r="M40" s="296"/>
      <c r="N40" s="241"/>
    </row>
    <row r="41" spans="1:19" s="217" customFormat="1" ht="26.25" customHeight="1">
      <c r="A41" s="205">
        <v>7</v>
      </c>
      <c r="B41" s="206" t="s">
        <v>223</v>
      </c>
      <c r="C41" s="243"/>
      <c r="D41" s="294"/>
      <c r="E41" s="271"/>
      <c r="F41" s="239"/>
      <c r="G41" s="294"/>
      <c r="H41" s="295"/>
      <c r="I41" s="288"/>
      <c r="J41" s="281"/>
      <c r="K41" s="296"/>
      <c r="L41" s="296"/>
      <c r="M41" s="296"/>
      <c r="N41" s="241"/>
    </row>
    <row r="42" spans="1:19" s="217" customFormat="1" ht="26.25" customHeight="1">
      <c r="A42" s="227"/>
      <c r="B42" s="273" t="s">
        <v>224</v>
      </c>
      <c r="C42" s="212" t="s">
        <v>117</v>
      </c>
      <c r="D42" s="345">
        <v>87</v>
      </c>
      <c r="E42" s="337"/>
      <c r="F42" s="338">
        <v>90</v>
      </c>
      <c r="G42" s="345">
        <v>87</v>
      </c>
      <c r="H42" s="354">
        <v>89</v>
      </c>
      <c r="I42" s="347"/>
      <c r="J42" s="339"/>
      <c r="K42" s="356"/>
      <c r="L42" s="507" t="s">
        <v>249</v>
      </c>
      <c r="M42" s="505" t="s">
        <v>248</v>
      </c>
      <c r="N42" s="241"/>
    </row>
    <row r="43" spans="1:19" s="217" customFormat="1" ht="26.25" customHeight="1">
      <c r="A43" s="227"/>
      <c r="B43" s="273" t="s">
        <v>225</v>
      </c>
      <c r="C43" s="212" t="s">
        <v>77</v>
      </c>
      <c r="D43" s="336">
        <f>87/108*100</f>
        <v>80.555555555555557</v>
      </c>
      <c r="E43" s="337" t="s">
        <v>226</v>
      </c>
      <c r="F43" s="339">
        <v>83.333333333333343</v>
      </c>
      <c r="G43" s="349">
        <f>86/106*100</f>
        <v>81.132075471698116</v>
      </c>
      <c r="H43" s="346">
        <f>89/106*100</f>
        <v>83.962264150943398</v>
      </c>
      <c r="I43" s="347"/>
      <c r="J43" s="339"/>
      <c r="K43" s="357"/>
      <c r="L43" s="508"/>
      <c r="M43" s="506"/>
      <c r="N43" s="241"/>
    </row>
    <row r="44" spans="1:19" s="217" customFormat="1" ht="26.25" customHeight="1">
      <c r="A44" s="227"/>
      <c r="B44" s="273" t="s">
        <v>227</v>
      </c>
      <c r="C44" s="212" t="s">
        <v>228</v>
      </c>
      <c r="D44" s="336">
        <f>430/462629*10000</f>
        <v>9.2947048282749254</v>
      </c>
      <c r="E44" s="340">
        <v>12</v>
      </c>
      <c r="F44" s="339">
        <v>12.108240851669786</v>
      </c>
      <c r="G44" s="336">
        <f>427/469102*10000</f>
        <v>9.10249796419542</v>
      </c>
      <c r="H44" s="350">
        <v>12.1</v>
      </c>
      <c r="I44" s="347"/>
      <c r="J44" s="339"/>
      <c r="K44" s="356"/>
      <c r="L44" s="358" t="s">
        <v>250</v>
      </c>
      <c r="M44" s="348"/>
      <c r="N44" s="241"/>
    </row>
    <row r="45" spans="1:19" s="217" customFormat="1" ht="30.75" customHeight="1">
      <c r="A45" s="227"/>
      <c r="B45" s="273" t="s">
        <v>71</v>
      </c>
      <c r="C45" s="299" t="s">
        <v>79</v>
      </c>
      <c r="D45" s="343">
        <v>15.75</v>
      </c>
      <c r="E45" s="341">
        <v>17.43</v>
      </c>
      <c r="F45" s="342">
        <v>15.45</v>
      </c>
      <c r="G45" s="339">
        <v>7.78</v>
      </c>
      <c r="H45" s="355">
        <v>15.45</v>
      </c>
      <c r="I45" s="347"/>
      <c r="J45" s="339"/>
      <c r="K45" s="356"/>
      <c r="L45" s="359" t="s">
        <v>249</v>
      </c>
      <c r="M45" s="351"/>
      <c r="N45" s="225"/>
    </row>
    <row r="46" spans="1:19" s="217" customFormat="1" ht="29.25" customHeight="1">
      <c r="A46" s="227"/>
      <c r="B46" s="273" t="s">
        <v>229</v>
      </c>
      <c r="C46" s="299" t="s">
        <v>79</v>
      </c>
      <c r="D46" s="343">
        <v>0.86</v>
      </c>
      <c r="E46" s="341" t="s">
        <v>230</v>
      </c>
      <c r="F46" s="340">
        <v>0.5</v>
      </c>
      <c r="G46" s="343">
        <v>0.55000000000000004</v>
      </c>
      <c r="H46" s="355">
        <v>0.5</v>
      </c>
      <c r="I46" s="347"/>
      <c r="J46" s="339"/>
      <c r="K46" s="356"/>
      <c r="L46" s="359" t="s">
        <v>249</v>
      </c>
      <c r="M46" s="352"/>
      <c r="N46" s="241"/>
    </row>
    <row r="47" spans="1:19" s="217" customFormat="1" ht="36.75" customHeight="1" thickBot="1">
      <c r="A47" s="227"/>
      <c r="B47" s="300" t="s">
        <v>231</v>
      </c>
      <c r="C47" s="212" t="s">
        <v>77</v>
      </c>
      <c r="D47" s="344">
        <v>20.350000000000001</v>
      </c>
      <c r="E47" s="343" t="s">
        <v>232</v>
      </c>
      <c r="F47" s="344">
        <v>19.965342732804285</v>
      </c>
      <c r="G47" s="344">
        <v>19.965342732804285</v>
      </c>
      <c r="H47" s="344">
        <v>19.97</v>
      </c>
      <c r="I47" s="347"/>
      <c r="J47" s="339"/>
      <c r="K47" s="356"/>
      <c r="L47" s="360" t="s">
        <v>251</v>
      </c>
      <c r="M47" s="353"/>
      <c r="N47" s="241"/>
    </row>
    <row r="48" spans="1:19" s="217" customFormat="1" hidden="1">
      <c r="A48" s="205">
        <v>8</v>
      </c>
      <c r="B48" s="206" t="s">
        <v>233</v>
      </c>
      <c r="C48" s="243"/>
      <c r="D48" s="302"/>
      <c r="E48" s="271"/>
      <c r="F48" s="297"/>
      <c r="G48" s="303"/>
      <c r="H48" s="304"/>
      <c r="I48" s="288"/>
      <c r="J48" s="279"/>
      <c r="K48" s="301"/>
      <c r="L48" s="301"/>
      <c r="M48" s="301"/>
      <c r="N48" s="241"/>
    </row>
    <row r="49" spans="1:20" s="217" customFormat="1" hidden="1">
      <c r="A49" s="227"/>
      <c r="B49" s="273" t="s">
        <v>234</v>
      </c>
      <c r="C49" s="212" t="s">
        <v>77</v>
      </c>
      <c r="D49" s="305"/>
      <c r="E49" s="279" t="s">
        <v>235</v>
      </c>
      <c r="F49" s="287">
        <v>3.5001320574409469</v>
      </c>
      <c r="G49" s="306"/>
      <c r="H49" s="306"/>
      <c r="I49" s="288"/>
      <c r="J49" s="239"/>
      <c r="K49" s="240"/>
      <c r="L49" s="240"/>
      <c r="M49" s="240"/>
      <c r="N49" s="241"/>
    </row>
    <row r="50" spans="1:20" s="217" customFormat="1" hidden="1">
      <c r="A50" s="289"/>
      <c r="B50" s="290" t="s">
        <v>236</v>
      </c>
      <c r="C50" s="229" t="s">
        <v>77</v>
      </c>
      <c r="D50" s="305"/>
      <c r="E50" s="230"/>
      <c r="F50" s="287">
        <v>5.09</v>
      </c>
      <c r="G50" s="305"/>
      <c r="H50" s="306"/>
      <c r="I50" s="288"/>
      <c r="J50" s="238"/>
      <c r="K50" s="284"/>
      <c r="L50" s="284"/>
      <c r="M50" s="284"/>
      <c r="N50" s="241"/>
      <c r="P50" s="307"/>
    </row>
    <row r="51" spans="1:20" s="314" customFormat="1" ht="31.5" hidden="1">
      <c r="A51" s="227"/>
      <c r="B51" s="273" t="s">
        <v>237</v>
      </c>
      <c r="C51" s="212" t="s">
        <v>76</v>
      </c>
      <c r="D51" s="308"/>
      <c r="E51" s="279" t="s">
        <v>238</v>
      </c>
      <c r="F51" s="309">
        <v>7380</v>
      </c>
      <c r="G51" s="310"/>
      <c r="H51" s="311"/>
      <c r="I51" s="298"/>
      <c r="J51" s="294"/>
      <c r="K51" s="312"/>
      <c r="L51" s="312"/>
      <c r="M51" s="312"/>
      <c r="N51" s="313"/>
    </row>
    <row r="52" spans="1:20" s="217" customFormat="1" ht="31.5" hidden="1">
      <c r="A52" s="227"/>
      <c r="B52" s="273" t="s">
        <v>239</v>
      </c>
      <c r="C52" s="212" t="s">
        <v>76</v>
      </c>
      <c r="D52" s="244"/>
      <c r="E52" s="260" t="s">
        <v>240</v>
      </c>
      <c r="F52" s="275">
        <v>6300</v>
      </c>
      <c r="G52" s="223"/>
      <c r="H52" s="282"/>
      <c r="I52" s="282"/>
      <c r="J52" s="244"/>
      <c r="K52" s="247"/>
      <c r="L52" s="247"/>
      <c r="M52" s="247"/>
      <c r="N52" s="225"/>
    </row>
    <row r="53" spans="1:20" s="217" customFormat="1" hidden="1">
      <c r="A53" s="227"/>
      <c r="B53" s="273" t="s">
        <v>241</v>
      </c>
      <c r="C53" s="212" t="s">
        <v>77</v>
      </c>
      <c r="D53" s="287"/>
      <c r="E53" s="279" t="s">
        <v>242</v>
      </c>
      <c r="F53" s="287">
        <v>50.65</v>
      </c>
      <c r="G53" s="279"/>
      <c r="H53" s="288"/>
      <c r="I53" s="288"/>
      <c r="J53" s="279"/>
      <c r="K53" s="301"/>
      <c r="L53" s="301"/>
      <c r="M53" s="301"/>
      <c r="N53" s="241"/>
      <c r="P53" s="285"/>
      <c r="Q53" s="285"/>
      <c r="R53" s="285"/>
      <c r="S53" s="285"/>
      <c r="T53" s="285"/>
    </row>
    <row r="54" spans="1:20" s="217" customFormat="1" hidden="1">
      <c r="A54" s="205">
        <v>9</v>
      </c>
      <c r="B54" s="206" t="s">
        <v>243</v>
      </c>
      <c r="C54" s="243"/>
      <c r="D54" s="315"/>
      <c r="E54" s="271"/>
      <c r="F54" s="315"/>
      <c r="G54" s="316"/>
      <c r="H54" s="288"/>
      <c r="I54" s="288"/>
      <c r="J54" s="317"/>
      <c r="K54" s="318"/>
      <c r="L54" s="318"/>
      <c r="M54" s="318"/>
      <c r="N54" s="265"/>
      <c r="P54" s="285"/>
      <c r="Q54" s="285"/>
      <c r="R54" s="285"/>
      <c r="S54" s="285"/>
      <c r="T54" s="285"/>
    </row>
    <row r="55" spans="1:20" s="217" customFormat="1" hidden="1">
      <c r="A55" s="227"/>
      <c r="B55" s="273" t="s">
        <v>244</v>
      </c>
      <c r="C55" s="212" t="s">
        <v>77</v>
      </c>
      <c r="D55" s="260"/>
      <c r="E55" s="287">
        <v>85</v>
      </c>
      <c r="F55" s="286">
        <v>84.9</v>
      </c>
      <c r="G55" s="286"/>
      <c r="H55" s="286"/>
      <c r="I55" s="288"/>
      <c r="J55" s="238"/>
      <c r="K55" s="284"/>
      <c r="L55" s="284"/>
      <c r="M55" s="284"/>
      <c r="N55" s="241"/>
    </row>
    <row r="56" spans="1:20" s="217" customFormat="1" ht="31.5" hidden="1">
      <c r="A56" s="227"/>
      <c r="B56" s="273" t="s">
        <v>245</v>
      </c>
      <c r="C56" s="212" t="s">
        <v>77</v>
      </c>
      <c r="D56" s="260"/>
      <c r="E56" s="287">
        <v>65</v>
      </c>
      <c r="F56" s="287">
        <v>70.635022522522519</v>
      </c>
      <c r="G56" s="286"/>
      <c r="H56" s="286"/>
      <c r="I56" s="288"/>
      <c r="J56" s="237"/>
      <c r="K56" s="291"/>
      <c r="L56" s="291"/>
      <c r="M56" s="291"/>
      <c r="N56" s="241"/>
    </row>
    <row r="57" spans="1:20" s="217" customFormat="1" ht="31.5" hidden="1">
      <c r="A57" s="227"/>
      <c r="B57" s="273" t="s">
        <v>246</v>
      </c>
      <c r="C57" s="212" t="s">
        <v>77</v>
      </c>
      <c r="D57" s="279"/>
      <c r="E57" s="287">
        <v>95</v>
      </c>
      <c r="F57" s="287">
        <v>96</v>
      </c>
      <c r="G57" s="279"/>
      <c r="H57" s="288"/>
      <c r="I57" s="288"/>
      <c r="J57" s="279"/>
      <c r="K57" s="301"/>
      <c r="L57" s="301"/>
      <c r="M57" s="301"/>
      <c r="N57" s="241"/>
    </row>
    <row r="58" spans="1:20" ht="16.5" hidden="1" thickBot="1">
      <c r="A58" s="319"/>
      <c r="B58" s="320"/>
      <c r="C58" s="321"/>
      <c r="D58" s="322"/>
      <c r="E58" s="322"/>
      <c r="F58" s="323"/>
      <c r="G58" s="323"/>
      <c r="H58" s="323"/>
      <c r="I58" s="323"/>
      <c r="J58" s="322"/>
      <c r="K58" s="324"/>
      <c r="L58" s="324"/>
      <c r="M58" s="324"/>
      <c r="N58" s="325"/>
    </row>
    <row r="59" spans="1:20">
      <c r="A59" s="513"/>
      <c r="B59" s="513"/>
      <c r="C59" s="513"/>
      <c r="D59" s="513"/>
      <c r="E59" s="513"/>
      <c r="F59" s="513"/>
      <c r="G59" s="513"/>
      <c r="H59" s="513"/>
      <c r="I59" s="513"/>
      <c r="J59" s="513"/>
      <c r="K59" s="513"/>
      <c r="L59" s="513"/>
      <c r="M59" s="513"/>
      <c r="N59" s="513"/>
    </row>
    <row r="60" spans="1:20">
      <c r="A60" s="514"/>
      <c r="B60" s="514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7"/>
    </row>
    <row r="61" spans="1:20" s="329" customFormat="1" ht="12.75">
      <c r="A61" s="328"/>
      <c r="B61" s="504"/>
      <c r="C61" s="504"/>
      <c r="D61" s="504"/>
      <c r="E61" s="504"/>
      <c r="F61" s="504"/>
      <c r="G61" s="504"/>
      <c r="H61" s="504"/>
      <c r="I61" s="504"/>
      <c r="J61" s="504"/>
      <c r="K61" s="504"/>
      <c r="L61" s="504"/>
      <c r="M61" s="504"/>
      <c r="N61" s="504"/>
    </row>
    <row r="62" spans="1:20" s="329" customFormat="1" ht="12.75">
      <c r="A62" s="330"/>
      <c r="B62" s="504"/>
      <c r="C62" s="504"/>
      <c r="D62" s="504"/>
      <c r="E62" s="504"/>
      <c r="F62" s="504"/>
      <c r="G62" s="504"/>
      <c r="H62" s="504"/>
      <c r="I62" s="504"/>
      <c r="J62" s="504"/>
      <c r="K62" s="504"/>
      <c r="L62" s="504"/>
      <c r="M62" s="504"/>
      <c r="N62" s="504"/>
    </row>
    <row r="63" spans="1:20" s="329" customFormat="1" ht="12.75">
      <c r="A63" s="331"/>
      <c r="B63" s="504"/>
      <c r="C63" s="504"/>
      <c r="D63" s="504"/>
      <c r="E63" s="504"/>
      <c r="F63" s="504"/>
      <c r="G63" s="504"/>
      <c r="H63" s="504"/>
      <c r="I63" s="504"/>
      <c r="J63" s="504"/>
      <c r="K63" s="504"/>
      <c r="L63" s="504"/>
      <c r="M63" s="504"/>
      <c r="N63" s="504"/>
    </row>
    <row r="64" spans="1:20">
      <c r="F64" s="334"/>
      <c r="G64" s="334"/>
    </row>
    <row r="65" spans="1:14">
      <c r="F65" s="334"/>
      <c r="G65" s="334"/>
    </row>
    <row r="66" spans="1:14">
      <c r="A66" s="189"/>
      <c r="B66" s="189"/>
      <c r="C66" s="189"/>
      <c r="F66" s="335"/>
      <c r="G66" s="335"/>
    </row>
    <row r="67" spans="1:14">
      <c r="A67" s="189"/>
      <c r="B67" s="189"/>
      <c r="C67" s="189"/>
      <c r="F67" s="335"/>
      <c r="G67" s="335"/>
    </row>
    <row r="68" spans="1:14">
      <c r="A68" s="189"/>
      <c r="B68" s="189"/>
      <c r="C68" s="189"/>
    </row>
    <row r="69" spans="1:14">
      <c r="A69" s="189"/>
      <c r="B69" s="189"/>
      <c r="C69" s="189"/>
    </row>
    <row r="70" spans="1:14">
      <c r="A70" s="189"/>
      <c r="B70" s="189"/>
      <c r="C70" s="189"/>
    </row>
    <row r="71" spans="1:14">
      <c r="A71" s="189"/>
      <c r="B71" s="189"/>
      <c r="C71" s="189"/>
    </row>
    <row r="72" spans="1:14">
      <c r="A72" s="189"/>
      <c r="B72" s="189"/>
      <c r="C72" s="189"/>
    </row>
    <row r="73" spans="1:14">
      <c r="A73" s="189"/>
      <c r="B73" s="189"/>
      <c r="C73" s="189"/>
    </row>
    <row r="74" spans="1:14">
      <c r="A74" s="189"/>
      <c r="B74" s="189"/>
      <c r="C74" s="189"/>
    </row>
    <row r="75" spans="1:14">
      <c r="A75" s="189"/>
      <c r="B75" s="189"/>
      <c r="C75" s="189"/>
    </row>
    <row r="76" spans="1:14">
      <c r="A76" s="189"/>
      <c r="B76" s="189"/>
      <c r="C76" s="189"/>
      <c r="N76" s="189"/>
    </row>
    <row r="77" spans="1:14">
      <c r="A77" s="189"/>
      <c r="B77" s="189"/>
      <c r="C77" s="189"/>
      <c r="N77" s="189"/>
    </row>
    <row r="78" spans="1:14">
      <c r="A78" s="189"/>
      <c r="B78" s="189"/>
      <c r="C78" s="189"/>
      <c r="N78" s="189"/>
    </row>
    <row r="79" spans="1:14">
      <c r="A79" s="189"/>
      <c r="B79" s="189"/>
      <c r="C79" s="189"/>
      <c r="N79" s="189"/>
    </row>
    <row r="80" spans="1:14">
      <c r="A80" s="189"/>
      <c r="B80" s="189"/>
      <c r="C80" s="189"/>
      <c r="N80" s="189"/>
    </row>
    <row r="81" spans="1:14">
      <c r="A81" s="189"/>
      <c r="B81" s="189"/>
      <c r="C81" s="189"/>
      <c r="N81" s="189"/>
    </row>
    <row r="82" spans="1:14">
      <c r="A82" s="189"/>
      <c r="B82" s="189"/>
      <c r="C82" s="189"/>
      <c r="N82" s="189"/>
    </row>
    <row r="83" spans="1:14">
      <c r="A83" s="189"/>
      <c r="B83" s="189"/>
      <c r="C83" s="189"/>
      <c r="N83" s="189"/>
    </row>
    <row r="84" spans="1:14">
      <c r="A84" s="189"/>
      <c r="B84" s="189"/>
      <c r="C84" s="189"/>
      <c r="N84" s="189"/>
    </row>
    <row r="85" spans="1:14">
      <c r="A85" s="189"/>
      <c r="B85" s="189"/>
      <c r="C85" s="189"/>
      <c r="N85" s="189"/>
    </row>
    <row r="86" spans="1:14">
      <c r="A86" s="189"/>
      <c r="B86" s="189"/>
      <c r="C86" s="189"/>
      <c r="N86" s="189"/>
    </row>
    <row r="87" spans="1:14">
      <c r="A87" s="189"/>
      <c r="B87" s="189"/>
      <c r="C87" s="189"/>
      <c r="N87" s="189"/>
    </row>
    <row r="88" spans="1:14">
      <c r="A88" s="189"/>
      <c r="B88" s="189"/>
      <c r="C88" s="189"/>
      <c r="N88" s="189"/>
    </row>
    <row r="89" spans="1:14">
      <c r="A89" s="189"/>
      <c r="B89" s="189"/>
      <c r="C89" s="189"/>
      <c r="N89" s="189"/>
    </row>
    <row r="90" spans="1:14">
      <c r="A90" s="189"/>
      <c r="B90" s="189"/>
      <c r="C90" s="189"/>
      <c r="N90" s="189"/>
    </row>
    <row r="91" spans="1:14">
      <c r="A91" s="189"/>
      <c r="B91" s="189"/>
      <c r="C91" s="189"/>
      <c r="N91" s="189"/>
    </row>
    <row r="92" spans="1:14">
      <c r="A92" s="189"/>
      <c r="B92" s="189"/>
      <c r="C92" s="189"/>
      <c r="N92" s="189"/>
    </row>
    <row r="93" spans="1:14">
      <c r="A93" s="189"/>
      <c r="B93" s="189"/>
      <c r="C93" s="189"/>
      <c r="N93" s="189"/>
    </row>
    <row r="94" spans="1:14">
      <c r="A94" s="189"/>
      <c r="B94" s="189"/>
      <c r="C94" s="189"/>
      <c r="N94" s="189"/>
    </row>
    <row r="95" spans="1:14">
      <c r="A95" s="189"/>
      <c r="B95" s="189"/>
      <c r="C95" s="189"/>
      <c r="N95" s="189"/>
    </row>
    <row r="96" spans="1:14">
      <c r="A96" s="189"/>
      <c r="B96" s="189"/>
      <c r="C96" s="189"/>
      <c r="N96" s="189"/>
    </row>
    <row r="97" spans="1:14">
      <c r="A97" s="189"/>
      <c r="B97" s="189"/>
      <c r="C97" s="189"/>
      <c r="N97" s="189"/>
    </row>
    <row r="98" spans="1:14">
      <c r="A98" s="189"/>
      <c r="B98" s="189"/>
      <c r="C98" s="189"/>
      <c r="N98" s="189"/>
    </row>
    <row r="99" spans="1:14">
      <c r="A99" s="189"/>
      <c r="B99" s="189"/>
      <c r="C99" s="189"/>
      <c r="N99" s="189"/>
    </row>
    <row r="100" spans="1:14">
      <c r="A100" s="189"/>
      <c r="B100" s="189"/>
      <c r="C100" s="189"/>
      <c r="N100" s="189"/>
    </row>
    <row r="101" spans="1:14">
      <c r="A101" s="189"/>
      <c r="B101" s="189"/>
      <c r="C101" s="189"/>
      <c r="N101" s="189"/>
    </row>
    <row r="204" spans="1:14">
      <c r="A204" s="189"/>
      <c r="B204" s="332" t="s">
        <v>247</v>
      </c>
      <c r="C204" s="189"/>
      <c r="N204" s="189"/>
    </row>
  </sheetData>
  <mergeCells count="19">
    <mergeCell ref="A1:B1"/>
    <mergeCell ref="A2:N2"/>
    <mergeCell ref="A3:N3"/>
    <mergeCell ref="A5:A6"/>
    <mergeCell ref="B5:B6"/>
    <mergeCell ref="C5:C6"/>
    <mergeCell ref="D5:D6"/>
    <mergeCell ref="E5:E6"/>
    <mergeCell ref="F5:H5"/>
    <mergeCell ref="I5:L5"/>
    <mergeCell ref="B63:N63"/>
    <mergeCell ref="M42:M43"/>
    <mergeCell ref="L42:L43"/>
    <mergeCell ref="M5:M6"/>
    <mergeCell ref="N5:N6"/>
    <mergeCell ref="A59:N59"/>
    <mergeCell ref="A60:B60"/>
    <mergeCell ref="B61:N61"/>
    <mergeCell ref="B62:N62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9"/>
  <sheetViews>
    <sheetView workbookViewId="0">
      <pane ySplit="7" topLeftCell="A47" activePane="bottomLeft" state="frozen"/>
      <selection pane="bottomLeft" activeCell="G51" sqref="G51"/>
    </sheetView>
  </sheetViews>
  <sheetFormatPr defaultRowHeight="12.75"/>
  <cols>
    <col min="1" max="1" width="4.5" style="7" customWidth="1"/>
    <col min="2" max="2" width="25.75" style="7" customWidth="1"/>
    <col min="3" max="3" width="9" style="7"/>
    <col min="4" max="4" width="9.625" style="48" bestFit="1" customWidth="1"/>
    <col min="5" max="5" width="9.625" style="369" customWidth="1"/>
    <col min="6" max="6" width="9.375" style="49" customWidth="1"/>
    <col min="7" max="7" width="9.75" style="49" bestFit="1" customWidth="1"/>
    <col min="8" max="8" width="10.5" style="49" bestFit="1" customWidth="1"/>
    <col min="9" max="9" width="9.875" style="49" bestFit="1" customWidth="1"/>
    <col min="10" max="10" width="10.75" style="50" customWidth="1"/>
    <col min="11" max="13" width="9" style="50"/>
    <col min="14" max="14" width="14.25" style="1" customWidth="1"/>
    <col min="15" max="15" width="14.875" style="7" customWidth="1"/>
    <col min="16" max="16384" width="9" style="7"/>
  </cols>
  <sheetData>
    <row r="1" spans="1:17" ht="15.75">
      <c r="A1" s="467" t="s">
        <v>8</v>
      </c>
      <c r="B1" s="467"/>
      <c r="C1" s="2"/>
      <c r="D1" s="3"/>
      <c r="E1" s="365"/>
      <c r="F1" s="4"/>
      <c r="G1" s="4"/>
      <c r="H1" s="4"/>
      <c r="I1" s="4"/>
      <c r="J1" s="5"/>
      <c r="K1" s="5"/>
      <c r="L1" s="5"/>
      <c r="M1" s="5"/>
      <c r="N1" s="6"/>
      <c r="O1" s="2"/>
    </row>
    <row r="2" spans="1:17" ht="15.75" customHeight="1">
      <c r="A2" s="475" t="s">
        <v>160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</row>
    <row r="3" spans="1:17" ht="15.75">
      <c r="A3" s="474" t="s">
        <v>163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</row>
    <row r="4" spans="1:17" ht="16.5" thickBot="1">
      <c r="A4" s="182"/>
      <c r="B4" s="182"/>
      <c r="C4" s="182"/>
      <c r="D4" s="182"/>
      <c r="E4" s="366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7" ht="12.75" customHeight="1">
      <c r="A5" s="487" t="s">
        <v>9</v>
      </c>
      <c r="B5" s="489" t="s">
        <v>10</v>
      </c>
      <c r="C5" s="489" t="s">
        <v>11</v>
      </c>
      <c r="D5" s="544" t="s">
        <v>167</v>
      </c>
      <c r="E5" s="532" t="s">
        <v>168</v>
      </c>
      <c r="F5" s="493" t="s">
        <v>153</v>
      </c>
      <c r="G5" s="494"/>
      <c r="H5" s="494"/>
      <c r="I5" s="495"/>
      <c r="J5" s="493" t="s">
        <v>0</v>
      </c>
      <c r="K5" s="494"/>
      <c r="L5" s="494"/>
      <c r="M5" s="495"/>
      <c r="N5" s="496" t="s">
        <v>1</v>
      </c>
      <c r="O5" s="482" t="s">
        <v>2</v>
      </c>
    </row>
    <row r="6" spans="1:17" ht="96" customHeight="1">
      <c r="A6" s="488"/>
      <c r="B6" s="490"/>
      <c r="C6" s="490"/>
      <c r="D6" s="492"/>
      <c r="E6" s="533"/>
      <c r="F6" s="183" t="s">
        <v>3</v>
      </c>
      <c r="G6" s="183" t="s">
        <v>158</v>
      </c>
      <c r="H6" s="183" t="s">
        <v>159</v>
      </c>
      <c r="I6" s="183" t="s">
        <v>4</v>
      </c>
      <c r="J6" s="183" t="s">
        <v>252</v>
      </c>
      <c r="K6" s="183" t="s">
        <v>173</v>
      </c>
      <c r="L6" s="183" t="s">
        <v>254</v>
      </c>
      <c r="M6" s="183" t="s">
        <v>253</v>
      </c>
      <c r="N6" s="497"/>
      <c r="O6" s="483"/>
    </row>
    <row r="7" spans="1:17">
      <c r="A7" s="9" t="s">
        <v>5</v>
      </c>
      <c r="B7" s="9" t="s">
        <v>6</v>
      </c>
      <c r="C7" s="9" t="s">
        <v>7</v>
      </c>
      <c r="D7" s="10">
        <v>1</v>
      </c>
      <c r="E7" s="367"/>
      <c r="F7" s="10">
        <v>2</v>
      </c>
      <c r="G7" s="10">
        <v>4</v>
      </c>
      <c r="H7" s="10">
        <v>5</v>
      </c>
      <c r="I7" s="10">
        <v>6</v>
      </c>
      <c r="J7" s="11">
        <v>7</v>
      </c>
      <c r="K7" s="11">
        <v>8</v>
      </c>
      <c r="L7" s="11"/>
      <c r="M7" s="11"/>
      <c r="N7" s="9">
        <v>9</v>
      </c>
      <c r="O7" s="9">
        <v>10</v>
      </c>
    </row>
    <row r="8" spans="1:17" ht="13.5">
      <c r="A8" s="12"/>
      <c r="B8" s="12"/>
      <c r="C8" s="12"/>
      <c r="D8" s="13"/>
      <c r="E8" s="368"/>
      <c r="F8" s="13"/>
      <c r="G8" s="14"/>
      <c r="H8" s="14"/>
      <c r="I8" s="14"/>
      <c r="J8" s="15"/>
      <c r="K8" s="15"/>
      <c r="L8" s="15"/>
      <c r="M8" s="15"/>
      <c r="N8" s="16"/>
      <c r="O8" s="12"/>
      <c r="Q8" s="17"/>
    </row>
    <row r="9" spans="1:17">
      <c r="A9" s="18" t="s">
        <v>12</v>
      </c>
      <c r="B9" s="484" t="s">
        <v>16</v>
      </c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6"/>
    </row>
    <row r="10" spans="1:17">
      <c r="A10" s="61">
        <v>1</v>
      </c>
      <c r="B10" s="93" t="s">
        <v>63</v>
      </c>
      <c r="C10" s="19"/>
      <c r="D10" s="21"/>
      <c r="E10" s="22"/>
      <c r="F10" s="22"/>
      <c r="G10" s="21"/>
      <c r="H10" s="21"/>
      <c r="I10" s="21"/>
      <c r="J10" s="23"/>
      <c r="K10" s="24"/>
      <c r="L10" s="24"/>
      <c r="M10" s="24"/>
      <c r="N10" s="25"/>
      <c r="O10" s="26"/>
    </row>
    <row r="11" spans="1:17">
      <c r="A11" s="180"/>
      <c r="B11" s="65" t="s">
        <v>64</v>
      </c>
      <c r="C11" s="66" t="s">
        <v>76</v>
      </c>
      <c r="D11" s="109">
        <f>D13+D14</f>
        <v>462629</v>
      </c>
      <c r="E11" s="109"/>
      <c r="F11" s="124">
        <f>F13+F14</f>
        <v>469102</v>
      </c>
      <c r="G11" s="109">
        <f t="shared" ref="G11" si="0">G13+G14</f>
        <v>469102</v>
      </c>
      <c r="H11" s="131">
        <v>469102</v>
      </c>
      <c r="I11" s="131">
        <v>469102</v>
      </c>
      <c r="J11" s="23"/>
      <c r="K11" s="24"/>
      <c r="L11" s="24"/>
      <c r="M11" s="24"/>
      <c r="N11" s="31"/>
      <c r="O11" s="32"/>
    </row>
    <row r="12" spans="1:17">
      <c r="A12" s="180"/>
      <c r="B12" s="65" t="s">
        <v>65</v>
      </c>
      <c r="C12" s="66"/>
      <c r="D12" s="99"/>
      <c r="E12" s="99"/>
      <c r="F12" s="30"/>
      <c r="G12" s="109"/>
      <c r="H12" s="131"/>
      <c r="I12" s="131"/>
      <c r="J12" s="23"/>
      <c r="K12" s="24"/>
      <c r="L12" s="24"/>
      <c r="M12" s="24"/>
      <c r="N12" s="31"/>
      <c r="O12" s="32"/>
    </row>
    <row r="13" spans="1:17">
      <c r="A13" s="180"/>
      <c r="B13" s="65" t="s">
        <v>66</v>
      </c>
      <c r="C13" s="66" t="s">
        <v>76</v>
      </c>
      <c r="D13" s="99">
        <v>82594</v>
      </c>
      <c r="E13" s="99"/>
      <c r="F13" s="124">
        <v>84161</v>
      </c>
      <c r="G13" s="109">
        <v>84161</v>
      </c>
      <c r="H13" s="131">
        <v>84161</v>
      </c>
      <c r="I13" s="131">
        <v>84161</v>
      </c>
      <c r="J13" s="23"/>
      <c r="K13" s="24"/>
      <c r="L13" s="24"/>
      <c r="M13" s="24"/>
      <c r="N13" s="31"/>
      <c r="O13" s="32"/>
    </row>
    <row r="14" spans="1:17">
      <c r="A14" s="180"/>
      <c r="B14" s="65" t="s">
        <v>67</v>
      </c>
      <c r="C14" s="66" t="s">
        <v>76</v>
      </c>
      <c r="D14" s="99">
        <v>380035</v>
      </c>
      <c r="E14" s="99"/>
      <c r="F14" s="124">
        <v>384941</v>
      </c>
      <c r="G14" s="109">
        <v>384941</v>
      </c>
      <c r="H14" s="131">
        <v>384941</v>
      </c>
      <c r="I14" s="131">
        <v>384941</v>
      </c>
      <c r="J14" s="23"/>
      <c r="K14" s="24"/>
      <c r="L14" s="24"/>
      <c r="M14" s="24"/>
      <c r="N14" s="33"/>
      <c r="O14" s="34"/>
    </row>
    <row r="15" spans="1:17">
      <c r="A15" s="180"/>
      <c r="B15" s="65" t="s">
        <v>68</v>
      </c>
      <c r="C15" s="66" t="s">
        <v>76</v>
      </c>
      <c r="D15" s="99">
        <v>390371</v>
      </c>
      <c r="E15" s="99"/>
      <c r="F15" s="124">
        <v>397043</v>
      </c>
      <c r="G15" s="109">
        <v>397043</v>
      </c>
      <c r="H15" s="131">
        <v>397043</v>
      </c>
      <c r="I15" s="131">
        <v>397043</v>
      </c>
      <c r="J15" s="23"/>
      <c r="K15" s="24"/>
      <c r="L15" s="24"/>
      <c r="M15" s="24"/>
      <c r="N15" s="33"/>
      <c r="O15" s="34"/>
    </row>
    <row r="16" spans="1:17">
      <c r="A16" s="180"/>
      <c r="B16" s="65" t="s">
        <v>69</v>
      </c>
      <c r="C16" s="66" t="s">
        <v>77</v>
      </c>
      <c r="D16" s="155">
        <v>2.04</v>
      </c>
      <c r="E16" s="155"/>
      <c r="F16" s="125">
        <v>1.45</v>
      </c>
      <c r="G16" s="29"/>
      <c r="H16" s="132">
        <v>0.75</v>
      </c>
      <c r="I16" s="129">
        <v>1.45</v>
      </c>
      <c r="J16" s="23"/>
      <c r="K16" s="24"/>
      <c r="L16" s="24"/>
      <c r="M16" s="24"/>
      <c r="N16" s="35"/>
      <c r="O16" s="36"/>
    </row>
    <row r="17" spans="1:15">
      <c r="A17" s="180"/>
      <c r="B17" s="65" t="s">
        <v>70</v>
      </c>
      <c r="C17" s="66" t="s">
        <v>78</v>
      </c>
      <c r="D17" s="155">
        <v>0.86</v>
      </c>
      <c r="E17" s="155">
        <v>0.5</v>
      </c>
      <c r="F17" s="125">
        <v>0.5</v>
      </c>
      <c r="G17" s="29"/>
      <c r="H17" s="132">
        <v>0.55000000000000004</v>
      </c>
      <c r="I17" s="129">
        <v>0.5</v>
      </c>
      <c r="J17" s="23"/>
      <c r="K17" s="24"/>
      <c r="L17" s="24"/>
      <c r="M17" s="24"/>
      <c r="N17" s="31"/>
      <c r="O17" s="32"/>
    </row>
    <row r="18" spans="1:15">
      <c r="A18" s="180"/>
      <c r="B18" s="65" t="s">
        <v>71</v>
      </c>
      <c r="C18" s="66" t="s">
        <v>79</v>
      </c>
      <c r="D18" s="155">
        <v>15.75</v>
      </c>
      <c r="E18" s="155">
        <v>17.43</v>
      </c>
      <c r="F18" s="125">
        <v>15.45</v>
      </c>
      <c r="G18" s="30"/>
      <c r="H18" s="125">
        <v>7.78</v>
      </c>
      <c r="I18" s="122">
        <v>15.45</v>
      </c>
      <c r="J18" s="23"/>
      <c r="K18" s="24"/>
      <c r="L18" s="24"/>
      <c r="M18" s="24"/>
      <c r="N18" s="35"/>
      <c r="O18" s="36"/>
    </row>
    <row r="19" spans="1:15" ht="22.5">
      <c r="A19" s="180"/>
      <c r="B19" s="65" t="s">
        <v>72</v>
      </c>
      <c r="C19" s="66" t="s">
        <v>77</v>
      </c>
      <c r="D19" s="181">
        <v>109.06</v>
      </c>
      <c r="E19" s="181"/>
      <c r="F19" s="126">
        <v>109.6</v>
      </c>
      <c r="G19" s="37"/>
      <c r="H19" s="37">
        <v>110</v>
      </c>
      <c r="I19" s="130">
        <v>109.6</v>
      </c>
      <c r="J19" s="23"/>
      <c r="K19" s="24"/>
      <c r="L19" s="24"/>
      <c r="M19" s="24"/>
      <c r="N19" s="38"/>
      <c r="O19" s="155"/>
    </row>
    <row r="20" spans="1:15">
      <c r="A20" s="180">
        <v>2</v>
      </c>
      <c r="B20" s="64" t="s">
        <v>73</v>
      </c>
      <c r="C20" s="66"/>
      <c r="D20" s="181"/>
      <c r="E20" s="181"/>
      <c r="F20" s="124"/>
      <c r="G20" s="30"/>
      <c r="H20" s="124"/>
      <c r="I20" s="122"/>
      <c r="J20" s="23"/>
      <c r="K20" s="24"/>
      <c r="L20" s="24"/>
      <c r="M20" s="24"/>
      <c r="N20" s="35"/>
      <c r="O20" s="36"/>
    </row>
    <row r="21" spans="1:15" ht="22.5">
      <c r="A21" s="180"/>
      <c r="B21" s="65" t="s">
        <v>74</v>
      </c>
      <c r="C21" s="66" t="s">
        <v>77</v>
      </c>
      <c r="D21" s="181">
        <v>70.19</v>
      </c>
      <c r="E21" s="181"/>
      <c r="F21" s="123">
        <v>70</v>
      </c>
      <c r="G21" s="30"/>
      <c r="H21" s="123">
        <v>69.5</v>
      </c>
      <c r="I21" s="122">
        <v>70</v>
      </c>
      <c r="J21" s="23"/>
      <c r="K21" s="24"/>
      <c r="L21" s="24"/>
      <c r="M21" s="24"/>
      <c r="N21" s="39"/>
      <c r="O21" s="155"/>
    </row>
    <row r="22" spans="1:15" ht="22.5">
      <c r="A22" s="68"/>
      <c r="B22" s="69" t="s">
        <v>75</v>
      </c>
      <c r="C22" s="70" t="s">
        <v>77</v>
      </c>
      <c r="D22" s="71">
        <v>16.09</v>
      </c>
      <c r="E22" s="71"/>
      <c r="F22" s="123">
        <v>15.5</v>
      </c>
      <c r="G22" s="42"/>
      <c r="H22" s="128">
        <v>15.7</v>
      </c>
      <c r="I22" s="119">
        <v>15.5</v>
      </c>
      <c r="J22" s="23"/>
      <c r="K22" s="24"/>
      <c r="L22" s="24"/>
      <c r="M22" s="24"/>
      <c r="N22" s="39"/>
      <c r="O22" s="40"/>
    </row>
    <row r="23" spans="1:15">
      <c r="A23" s="74" t="s">
        <v>6</v>
      </c>
      <c r="B23" s="75" t="s">
        <v>18</v>
      </c>
      <c r="C23" s="40"/>
      <c r="D23" s="42"/>
      <c r="E23" s="42"/>
      <c r="F23" s="30"/>
      <c r="G23" s="42"/>
      <c r="H23" s="42"/>
      <c r="I23" s="42"/>
      <c r="J23" s="23"/>
      <c r="K23" s="24"/>
      <c r="L23" s="24"/>
      <c r="M23" s="24"/>
      <c r="N23" s="39"/>
      <c r="O23" s="40"/>
    </row>
    <row r="24" spans="1:15">
      <c r="A24" s="89" t="s">
        <v>12</v>
      </c>
      <c r="B24" s="90" t="s">
        <v>80</v>
      </c>
      <c r="C24" s="40"/>
      <c r="D24" s="42"/>
      <c r="E24" s="42"/>
      <c r="F24" s="30"/>
      <c r="G24" s="42"/>
      <c r="H24" s="42"/>
      <c r="I24" s="42"/>
      <c r="J24" s="23"/>
      <c r="K24" s="24"/>
      <c r="L24" s="24"/>
      <c r="M24" s="24"/>
      <c r="N24" s="39"/>
      <c r="O24" s="40"/>
    </row>
    <row r="25" spans="1:15">
      <c r="A25" s="79">
        <v>1</v>
      </c>
      <c r="B25" s="65" t="s">
        <v>81</v>
      </c>
      <c r="C25" s="79" t="s">
        <v>82</v>
      </c>
      <c r="D25" s="181">
        <v>122</v>
      </c>
      <c r="E25" s="181"/>
      <c r="F25" s="30">
        <v>122</v>
      </c>
      <c r="G25" s="30">
        <v>122</v>
      </c>
      <c r="H25" s="124">
        <f>SUM(H26:H32)</f>
        <v>120</v>
      </c>
      <c r="I25" s="124">
        <f>SUM(I26:I32)</f>
        <v>120</v>
      </c>
      <c r="J25" s="23"/>
      <c r="K25" s="24"/>
      <c r="L25" s="24"/>
      <c r="M25" s="24"/>
      <c r="N25" s="39"/>
      <c r="O25" s="40"/>
    </row>
    <row r="26" spans="1:15">
      <c r="A26" s="80"/>
      <c r="B26" s="81" t="s">
        <v>83</v>
      </c>
      <c r="C26" s="80" t="s">
        <v>84</v>
      </c>
      <c r="D26" s="181">
        <v>1</v>
      </c>
      <c r="E26" s="181"/>
      <c r="F26" s="30">
        <v>1</v>
      </c>
      <c r="G26" s="30">
        <v>1</v>
      </c>
      <c r="H26" s="124">
        <v>1</v>
      </c>
      <c r="I26" s="30">
        <v>1</v>
      </c>
      <c r="J26" s="23"/>
      <c r="K26" s="24"/>
      <c r="L26" s="24"/>
      <c r="M26" s="24"/>
      <c r="N26" s="39"/>
      <c r="O26" s="40"/>
    </row>
    <row r="27" spans="1:15">
      <c r="A27" s="80"/>
      <c r="B27" s="81" t="s">
        <v>85</v>
      </c>
      <c r="C27" s="80" t="s">
        <v>84</v>
      </c>
      <c r="D27" s="181">
        <v>2</v>
      </c>
      <c r="E27" s="181"/>
      <c r="F27" s="30">
        <v>2</v>
      </c>
      <c r="G27" s="30">
        <v>2</v>
      </c>
      <c r="H27" s="124">
        <v>2</v>
      </c>
      <c r="I27" s="30">
        <v>2</v>
      </c>
      <c r="J27" s="23"/>
      <c r="K27" s="24"/>
      <c r="L27" s="24"/>
      <c r="M27" s="24"/>
      <c r="N27" s="39"/>
      <c r="O27" s="40"/>
    </row>
    <row r="28" spans="1:15">
      <c r="A28" s="80"/>
      <c r="B28" s="81" t="s">
        <v>149</v>
      </c>
      <c r="C28" s="80" t="s">
        <v>87</v>
      </c>
      <c r="D28" s="181">
        <v>1</v>
      </c>
      <c r="E28" s="181"/>
      <c r="F28" s="30">
        <v>1</v>
      </c>
      <c r="G28" s="30">
        <v>1</v>
      </c>
      <c r="H28" s="124">
        <v>1</v>
      </c>
      <c r="I28" s="30">
        <v>1</v>
      </c>
      <c r="J28" s="23"/>
      <c r="K28" s="24"/>
      <c r="L28" s="24"/>
      <c r="M28" s="24"/>
      <c r="N28" s="39"/>
      <c r="O28" s="40"/>
    </row>
    <row r="29" spans="1:15">
      <c r="A29" s="80"/>
      <c r="B29" s="81" t="s">
        <v>86</v>
      </c>
      <c r="C29" s="80" t="s">
        <v>87</v>
      </c>
      <c r="D29" s="181">
        <v>8</v>
      </c>
      <c r="E29" s="181"/>
      <c r="F29" s="30">
        <v>8</v>
      </c>
      <c r="G29" s="30">
        <v>8</v>
      </c>
      <c r="H29" s="124">
        <v>8</v>
      </c>
      <c r="I29" s="30">
        <v>8</v>
      </c>
      <c r="J29" s="23"/>
      <c r="K29" s="24"/>
      <c r="L29" s="24"/>
      <c r="M29" s="24"/>
      <c r="N29" s="39"/>
      <c r="O29" s="40"/>
    </row>
    <row r="30" spans="1:15">
      <c r="A30" s="80"/>
      <c r="B30" s="98" t="s">
        <v>151</v>
      </c>
      <c r="C30" s="80" t="s">
        <v>87</v>
      </c>
      <c r="D30" s="181">
        <v>1</v>
      </c>
      <c r="E30" s="181"/>
      <c r="F30" s="30">
        <v>1</v>
      </c>
      <c r="G30" s="30">
        <v>1</v>
      </c>
      <c r="H30" s="124">
        <v>1</v>
      </c>
      <c r="I30" s="30">
        <v>1</v>
      </c>
      <c r="J30" s="23"/>
      <c r="K30" s="24"/>
      <c r="L30" s="24"/>
      <c r="M30" s="24"/>
      <c r="N30" s="39"/>
      <c r="O30" s="40"/>
    </row>
    <row r="31" spans="1:15">
      <c r="A31" s="80"/>
      <c r="B31" s="82" t="s">
        <v>88</v>
      </c>
      <c r="C31" s="80" t="s">
        <v>89</v>
      </c>
      <c r="D31" s="181">
        <v>4</v>
      </c>
      <c r="E31" s="181"/>
      <c r="F31" s="30">
        <v>4</v>
      </c>
      <c r="G31" s="30">
        <v>4</v>
      </c>
      <c r="H31" s="124">
        <v>4</v>
      </c>
      <c r="I31" s="30">
        <v>4</v>
      </c>
      <c r="J31" s="23"/>
      <c r="K31" s="24"/>
      <c r="L31" s="24"/>
      <c r="M31" s="24"/>
      <c r="N31" s="39"/>
      <c r="O31" s="40"/>
    </row>
    <row r="32" spans="1:15">
      <c r="A32" s="80"/>
      <c r="B32" s="82" t="s">
        <v>90</v>
      </c>
      <c r="C32" s="80" t="s">
        <v>91</v>
      </c>
      <c r="D32" s="181">
        <v>105</v>
      </c>
      <c r="E32" s="181"/>
      <c r="F32" s="30">
        <v>105</v>
      </c>
      <c r="G32" s="30">
        <v>105</v>
      </c>
      <c r="H32" s="124">
        <v>103</v>
      </c>
      <c r="I32" s="30">
        <v>103</v>
      </c>
      <c r="J32" s="23"/>
      <c r="K32" s="24"/>
      <c r="L32" s="24"/>
      <c r="M32" s="24"/>
      <c r="N32" s="39"/>
      <c r="O32" s="40"/>
    </row>
    <row r="33" spans="1:15">
      <c r="A33" s="79">
        <v>2</v>
      </c>
      <c r="B33" s="65" t="s">
        <v>92</v>
      </c>
      <c r="C33" s="79" t="s">
        <v>82</v>
      </c>
      <c r="D33" s="181">
        <v>2</v>
      </c>
      <c r="E33" s="181"/>
      <c r="F33" s="30">
        <v>2</v>
      </c>
      <c r="G33" s="30">
        <v>2</v>
      </c>
      <c r="H33" s="124">
        <v>2</v>
      </c>
      <c r="I33" s="30">
        <v>2</v>
      </c>
      <c r="J33" s="23"/>
      <c r="K33" s="24"/>
      <c r="L33" s="24"/>
      <c r="M33" s="24"/>
      <c r="N33" s="39"/>
      <c r="O33" s="40"/>
    </row>
    <row r="34" spans="1:15">
      <c r="A34" s="79">
        <v>3</v>
      </c>
      <c r="B34" s="83" t="s">
        <v>93</v>
      </c>
      <c r="C34" s="79" t="s">
        <v>94</v>
      </c>
      <c r="D34" s="181">
        <v>1450</v>
      </c>
      <c r="E34" s="181"/>
      <c r="F34" s="30">
        <f>F35+F36</f>
        <v>1580</v>
      </c>
      <c r="G34" s="30">
        <v>1580</v>
      </c>
      <c r="H34" s="124">
        <v>1580</v>
      </c>
      <c r="I34" s="30">
        <v>1580</v>
      </c>
      <c r="J34" s="23"/>
      <c r="K34" s="24"/>
      <c r="L34" s="24"/>
      <c r="M34" s="24"/>
      <c r="N34" s="39"/>
      <c r="O34" s="40"/>
    </row>
    <row r="35" spans="1:15">
      <c r="A35" s="79"/>
      <c r="B35" s="83" t="s">
        <v>95</v>
      </c>
      <c r="C35" s="79" t="s">
        <v>94</v>
      </c>
      <c r="D35" s="181">
        <v>590</v>
      </c>
      <c r="E35" s="181"/>
      <c r="F35" s="30">
        <v>660</v>
      </c>
      <c r="G35" s="30">
        <v>660</v>
      </c>
      <c r="H35" s="124">
        <v>660</v>
      </c>
      <c r="I35" s="30">
        <v>660</v>
      </c>
      <c r="J35" s="23"/>
      <c r="K35" s="24"/>
      <c r="L35" s="24"/>
      <c r="M35" s="24"/>
      <c r="N35" s="39"/>
      <c r="O35" s="40"/>
    </row>
    <row r="36" spans="1:15">
      <c r="A36" s="79"/>
      <c r="B36" s="83" t="s">
        <v>96</v>
      </c>
      <c r="C36" s="79" t="s">
        <v>94</v>
      </c>
      <c r="D36" s="181">
        <v>860</v>
      </c>
      <c r="E36" s="181"/>
      <c r="F36" s="30">
        <f>F37+F38</f>
        <v>920</v>
      </c>
      <c r="G36" s="30">
        <v>920</v>
      </c>
      <c r="H36" s="124">
        <v>920</v>
      </c>
      <c r="I36" s="30">
        <v>920</v>
      </c>
      <c r="J36" s="23"/>
      <c r="K36" s="24"/>
      <c r="L36" s="24"/>
      <c r="M36" s="24"/>
      <c r="N36" s="39"/>
      <c r="O36" s="40"/>
    </row>
    <row r="37" spans="1:15">
      <c r="A37" s="80"/>
      <c r="B37" s="81" t="s">
        <v>97</v>
      </c>
      <c r="C37" s="79" t="s">
        <v>94</v>
      </c>
      <c r="D37" s="181">
        <v>800</v>
      </c>
      <c r="E37" s="181"/>
      <c r="F37" s="30">
        <v>860</v>
      </c>
      <c r="G37" s="30">
        <v>860</v>
      </c>
      <c r="H37" s="124">
        <v>860</v>
      </c>
      <c r="I37" s="30">
        <v>860</v>
      </c>
      <c r="J37" s="23"/>
      <c r="K37" s="24"/>
      <c r="L37" s="24"/>
      <c r="M37" s="24"/>
      <c r="N37" s="39"/>
      <c r="O37" s="40"/>
    </row>
    <row r="38" spans="1:15">
      <c r="A38" s="80"/>
      <c r="B38" s="95" t="s">
        <v>150</v>
      </c>
      <c r="C38" s="80" t="s">
        <v>94</v>
      </c>
      <c r="D38" s="181">
        <v>60</v>
      </c>
      <c r="E38" s="181"/>
      <c r="F38" s="30">
        <v>60</v>
      </c>
      <c r="G38" s="30">
        <v>60</v>
      </c>
      <c r="H38" s="124">
        <v>60</v>
      </c>
      <c r="I38" s="30">
        <v>60</v>
      </c>
      <c r="J38" s="23"/>
      <c r="K38" s="24"/>
      <c r="L38" s="24"/>
      <c r="M38" s="24"/>
      <c r="N38" s="39"/>
      <c r="O38" s="40"/>
    </row>
    <row r="39" spans="1:15" ht="27" customHeight="1">
      <c r="A39" s="79">
        <v>4</v>
      </c>
      <c r="B39" s="65" t="s">
        <v>98</v>
      </c>
      <c r="C39" s="79" t="s">
        <v>94</v>
      </c>
      <c r="D39" s="181">
        <v>31.68</v>
      </c>
      <c r="E39" s="181">
        <v>34.11</v>
      </c>
      <c r="F39" s="122">
        <f>F34/F11*10000</f>
        <v>33.68137420006736</v>
      </c>
      <c r="G39" s="122">
        <v>33.68137420006736</v>
      </c>
      <c r="H39" s="122">
        <v>33.68137420006736</v>
      </c>
      <c r="I39" s="122">
        <v>33.68137420006736</v>
      </c>
      <c r="J39" s="23"/>
      <c r="K39" s="24"/>
      <c r="L39" s="24"/>
      <c r="M39" s="540" t="s">
        <v>259</v>
      </c>
      <c r="N39" s="534" t="s">
        <v>261</v>
      </c>
      <c r="O39" s="535"/>
    </row>
    <row r="40" spans="1:15" ht="25.5" customHeight="1">
      <c r="A40" s="80"/>
      <c r="B40" s="84" t="s">
        <v>99</v>
      </c>
      <c r="C40" s="80" t="s">
        <v>100</v>
      </c>
      <c r="D40" s="181">
        <v>31.68</v>
      </c>
      <c r="E40" s="181">
        <v>33.729999999999997</v>
      </c>
      <c r="F40" s="122">
        <f>F34/F11*10000</f>
        <v>33.68137420006736</v>
      </c>
      <c r="G40" s="122">
        <v>33.68137420006736</v>
      </c>
      <c r="H40" s="122">
        <v>33.68137420006736</v>
      </c>
      <c r="I40" s="122">
        <v>33.68137420006736</v>
      </c>
      <c r="J40" s="23"/>
      <c r="K40" s="24"/>
      <c r="L40" s="24"/>
      <c r="M40" s="541"/>
      <c r="N40" s="536"/>
      <c r="O40" s="537"/>
    </row>
    <row r="41" spans="1:15" s="372" customFormat="1" ht="36" customHeight="1">
      <c r="A41" s="370">
        <v>5</v>
      </c>
      <c r="B41" s="371" t="s">
        <v>258</v>
      </c>
      <c r="C41" s="370"/>
      <c r="D41" s="101">
        <v>0</v>
      </c>
      <c r="E41" s="101">
        <v>0.38</v>
      </c>
      <c r="F41" s="122">
        <v>0</v>
      </c>
      <c r="G41" s="122">
        <v>0</v>
      </c>
      <c r="H41" s="122">
        <v>0</v>
      </c>
      <c r="I41" s="122">
        <v>0</v>
      </c>
      <c r="J41" s="23"/>
      <c r="K41" s="24"/>
      <c r="L41" s="24"/>
      <c r="M41" s="24" t="s">
        <v>260</v>
      </c>
      <c r="N41" s="538" t="s">
        <v>262</v>
      </c>
      <c r="O41" s="539"/>
    </row>
    <row r="42" spans="1:15">
      <c r="A42" s="77" t="s">
        <v>101</v>
      </c>
      <c r="B42" s="78" t="s">
        <v>102</v>
      </c>
      <c r="C42" s="77"/>
      <c r="D42" s="101"/>
      <c r="E42" s="101"/>
      <c r="F42" s="30"/>
      <c r="G42" s="42"/>
      <c r="H42" s="124"/>
      <c r="I42" s="42"/>
      <c r="J42" s="23"/>
      <c r="K42" s="24"/>
      <c r="L42" s="24"/>
      <c r="M42" s="24"/>
      <c r="N42" s="39"/>
      <c r="O42" s="40"/>
    </row>
    <row r="43" spans="1:15">
      <c r="A43" s="79">
        <v>1</v>
      </c>
      <c r="B43" s="65" t="s">
        <v>103</v>
      </c>
      <c r="C43" s="102" t="s">
        <v>76</v>
      </c>
      <c r="D43" s="108">
        <v>2842</v>
      </c>
      <c r="E43" s="109"/>
      <c r="F43" s="30">
        <v>3085</v>
      </c>
      <c r="G43" s="124">
        <v>2829</v>
      </c>
      <c r="H43" s="124">
        <v>2827</v>
      </c>
      <c r="I43" s="124">
        <v>3085</v>
      </c>
      <c r="J43" s="23"/>
      <c r="K43" s="24"/>
      <c r="L43" s="24"/>
      <c r="M43" s="24"/>
      <c r="N43" s="39"/>
      <c r="O43" s="40"/>
    </row>
    <row r="44" spans="1:15">
      <c r="A44" s="79"/>
      <c r="B44" s="65" t="s">
        <v>104</v>
      </c>
      <c r="C44" s="102"/>
      <c r="D44" s="28"/>
      <c r="E44" s="155"/>
      <c r="F44" s="30"/>
      <c r="G44" s="124"/>
      <c r="H44" s="124"/>
      <c r="I44" s="124"/>
      <c r="J44" s="23"/>
      <c r="K44" s="24"/>
      <c r="L44" s="24"/>
      <c r="M44" s="24"/>
      <c r="N44" s="39"/>
      <c r="O44" s="40"/>
    </row>
    <row r="45" spans="1:15">
      <c r="A45" s="79" t="s">
        <v>105</v>
      </c>
      <c r="B45" s="65" t="s">
        <v>106</v>
      </c>
      <c r="C45" s="102" t="s">
        <v>76</v>
      </c>
      <c r="D45" s="28">
        <v>419</v>
      </c>
      <c r="E45" s="155"/>
      <c r="F45" s="30">
        <v>568</v>
      </c>
      <c r="G45" s="124">
        <v>430</v>
      </c>
      <c r="H45" s="124">
        <v>428</v>
      </c>
      <c r="I45" s="124">
        <v>568</v>
      </c>
      <c r="J45" s="23"/>
      <c r="K45" s="24"/>
      <c r="L45" s="24"/>
      <c r="M45" s="24"/>
      <c r="N45" s="39"/>
      <c r="O45" s="40"/>
    </row>
    <row r="46" spans="1:15">
      <c r="A46" s="80"/>
      <c r="B46" s="82" t="s">
        <v>107</v>
      </c>
      <c r="C46" s="103" t="s">
        <v>108</v>
      </c>
      <c r="D46" s="105">
        <v>9.0569333094120772</v>
      </c>
      <c r="E46" s="109">
        <v>12</v>
      </c>
      <c r="F46" s="122">
        <f>F45/F11*10000</f>
        <v>12.108240851669786</v>
      </c>
      <c r="G46" s="122">
        <v>9.1664499405246627</v>
      </c>
      <c r="H46" s="125">
        <v>9.1238152896385021</v>
      </c>
      <c r="I46" s="122">
        <v>12.108240851669786</v>
      </c>
      <c r="J46" s="23"/>
      <c r="K46" s="24"/>
      <c r="L46" s="24"/>
      <c r="M46" s="24" t="s">
        <v>250</v>
      </c>
      <c r="N46" s="39"/>
      <c r="O46" s="40"/>
    </row>
    <row r="47" spans="1:15">
      <c r="A47" s="79" t="s">
        <v>109</v>
      </c>
      <c r="B47" s="65" t="s">
        <v>110</v>
      </c>
      <c r="C47" s="102" t="s">
        <v>76</v>
      </c>
      <c r="D47" s="28">
        <v>52</v>
      </c>
      <c r="E47" s="155"/>
      <c r="F47" s="30">
        <v>65</v>
      </c>
      <c r="G47" s="124">
        <v>59</v>
      </c>
      <c r="H47" s="124">
        <v>60</v>
      </c>
      <c r="I47" s="124">
        <v>65</v>
      </c>
      <c r="J47" s="23"/>
      <c r="K47" s="24"/>
      <c r="L47" s="24"/>
      <c r="M47" s="24"/>
      <c r="N47" s="39"/>
      <c r="O47" s="40"/>
    </row>
    <row r="48" spans="1:15">
      <c r="A48" s="80"/>
      <c r="B48" s="82" t="s">
        <v>111</v>
      </c>
      <c r="C48" s="103" t="s">
        <v>108</v>
      </c>
      <c r="D48" s="105">
        <v>1.1240108164425491</v>
      </c>
      <c r="E48" s="364"/>
      <c r="F48" s="122">
        <f>F47/F11*10000</f>
        <v>1.3856261538002397</v>
      </c>
      <c r="G48" s="122">
        <v>1.2577222011417559</v>
      </c>
      <c r="H48" s="122">
        <v>1.2790395265848367</v>
      </c>
      <c r="I48" s="122">
        <v>1.3856261538002397</v>
      </c>
      <c r="J48" s="23"/>
      <c r="K48" s="24"/>
      <c r="L48" s="24"/>
      <c r="M48" s="24"/>
      <c r="N48" s="39"/>
      <c r="O48" s="40"/>
    </row>
    <row r="49" spans="1:16" ht="22.5">
      <c r="A49" s="79">
        <v>3</v>
      </c>
      <c r="B49" s="65" t="s">
        <v>112</v>
      </c>
      <c r="C49" s="102" t="s">
        <v>77</v>
      </c>
      <c r="D49" s="361">
        <v>17.592592592592592</v>
      </c>
      <c r="E49" s="364"/>
      <c r="F49" s="122">
        <f>20/108*100</f>
        <v>18.518518518518519</v>
      </c>
      <c r="G49" s="122">
        <v>17.592592592592592</v>
      </c>
      <c r="H49" s="122">
        <v>18.518518518518519</v>
      </c>
      <c r="I49" s="122">
        <v>18.518518518518519</v>
      </c>
      <c r="J49" s="23"/>
      <c r="K49" s="24"/>
      <c r="L49" s="24"/>
      <c r="M49" s="24"/>
      <c r="N49" s="39"/>
      <c r="O49" s="40"/>
    </row>
    <row r="50" spans="1:16" ht="29.25" customHeight="1">
      <c r="A50" s="79"/>
      <c r="B50" s="363" t="s">
        <v>257</v>
      </c>
      <c r="C50" s="102" t="s">
        <v>77</v>
      </c>
      <c r="D50" s="362">
        <v>75.930000000000007</v>
      </c>
      <c r="E50" s="104"/>
      <c r="F50" s="122">
        <v>85</v>
      </c>
      <c r="G50" s="122">
        <v>85</v>
      </c>
      <c r="H50" s="122">
        <v>85</v>
      </c>
      <c r="I50" s="122">
        <v>85</v>
      </c>
      <c r="J50" s="23"/>
      <c r="K50" s="24"/>
      <c r="L50" s="24"/>
      <c r="M50" s="24"/>
      <c r="N50" s="39"/>
      <c r="O50" s="40"/>
    </row>
    <row r="51" spans="1:16" ht="22.5">
      <c r="A51" s="79">
        <v>5</v>
      </c>
      <c r="B51" s="65" t="s">
        <v>113</v>
      </c>
      <c r="C51" s="79" t="s">
        <v>77</v>
      </c>
      <c r="D51" s="104">
        <v>95.909090909090907</v>
      </c>
      <c r="E51" s="104"/>
      <c r="F51" s="122">
        <v>98.74</v>
      </c>
      <c r="G51" s="122">
        <v>96.645702306079656</v>
      </c>
      <c r="H51" s="125">
        <v>96.645702306079656</v>
      </c>
      <c r="I51" s="122">
        <v>96.645702306079656</v>
      </c>
      <c r="J51" s="23"/>
      <c r="K51" s="24"/>
      <c r="L51" s="24"/>
      <c r="M51" s="24"/>
      <c r="N51" s="39"/>
      <c r="O51" s="40"/>
    </row>
    <row r="52" spans="1:16">
      <c r="A52" s="77" t="s">
        <v>114</v>
      </c>
      <c r="B52" s="78" t="s">
        <v>115</v>
      </c>
      <c r="C52" s="85"/>
      <c r="D52" s="42"/>
      <c r="E52" s="42"/>
      <c r="F52" s="30"/>
      <c r="G52" s="42"/>
      <c r="H52" s="124"/>
      <c r="I52" s="122"/>
      <c r="J52" s="23"/>
      <c r="K52" s="24"/>
      <c r="L52" s="24"/>
      <c r="M52" s="24"/>
      <c r="N52" s="39"/>
      <c r="O52" s="40"/>
    </row>
    <row r="53" spans="1:16">
      <c r="A53" s="79">
        <v>1</v>
      </c>
      <c r="B53" s="65" t="s">
        <v>116</v>
      </c>
      <c r="C53" s="79" t="s">
        <v>117</v>
      </c>
      <c r="D53" s="42">
        <v>81</v>
      </c>
      <c r="E53" s="42"/>
      <c r="F53" s="30">
        <v>90</v>
      </c>
      <c r="G53" s="110">
        <v>87</v>
      </c>
      <c r="H53" s="375">
        <v>86</v>
      </c>
      <c r="I53" s="124">
        <v>89</v>
      </c>
      <c r="J53" s="23"/>
      <c r="K53" s="24"/>
      <c r="L53" s="24"/>
      <c r="M53" s="24"/>
      <c r="N53" s="39"/>
      <c r="O53" s="40"/>
    </row>
    <row r="54" spans="1:16" ht="22.5">
      <c r="A54" s="79"/>
      <c r="B54" s="82" t="s">
        <v>118</v>
      </c>
      <c r="C54" s="79" t="s">
        <v>117</v>
      </c>
      <c r="D54" s="42">
        <v>6</v>
      </c>
      <c r="E54" s="42"/>
      <c r="F54" s="30">
        <v>3</v>
      </c>
      <c r="G54" s="375">
        <v>6</v>
      </c>
      <c r="H54" s="375">
        <v>6</v>
      </c>
      <c r="I54" s="124">
        <v>3</v>
      </c>
      <c r="J54" s="23"/>
      <c r="K54" s="24"/>
      <c r="L54" s="24"/>
      <c r="M54" s="24"/>
      <c r="N54" s="39"/>
      <c r="O54" s="40"/>
    </row>
    <row r="55" spans="1:16" ht="25.5">
      <c r="A55" s="86"/>
      <c r="B55" s="82" t="s">
        <v>119</v>
      </c>
      <c r="C55" s="80" t="s">
        <v>77</v>
      </c>
      <c r="D55" s="42">
        <v>75</v>
      </c>
      <c r="E55" s="42" t="s">
        <v>255</v>
      </c>
      <c r="F55" s="122">
        <f>90/108*100</f>
        <v>83.333333333333343</v>
      </c>
      <c r="G55" s="133">
        <f t="shared" ref="G55" si="1">G53/108*100</f>
        <v>80.555555555555557</v>
      </c>
      <c r="H55" s="133">
        <v>81.132075471698116</v>
      </c>
      <c r="I55" s="122">
        <f>89/106*100</f>
        <v>83.962264150943398</v>
      </c>
      <c r="J55" s="23"/>
      <c r="K55" s="24"/>
      <c r="L55" s="24"/>
      <c r="M55" s="24" t="s">
        <v>263</v>
      </c>
      <c r="N55" s="39"/>
      <c r="O55" s="40"/>
      <c r="P55" s="165"/>
    </row>
    <row r="56" spans="1:16" ht="22.5">
      <c r="A56" s="79">
        <v>2</v>
      </c>
      <c r="B56" s="65" t="s">
        <v>120</v>
      </c>
      <c r="C56" s="79" t="s">
        <v>121</v>
      </c>
      <c r="D56" s="42">
        <v>26.69</v>
      </c>
      <c r="E56" s="42">
        <v>30</v>
      </c>
      <c r="F56" s="30">
        <v>29.99</v>
      </c>
      <c r="G56" s="147">
        <f>((16+16+12+22+33)/(861+800+700+745+656))*1000</f>
        <v>26.315789473684209</v>
      </c>
      <c r="H56" s="156">
        <f>((16+16+12+22+33+13)/(861+800+700+745+656+674))*1000</f>
        <v>25.247971145175836</v>
      </c>
      <c r="I56" s="122">
        <v>29.99</v>
      </c>
      <c r="J56" s="23"/>
      <c r="K56" s="24"/>
      <c r="L56" s="24"/>
      <c r="M56" s="24" t="s">
        <v>250</v>
      </c>
      <c r="N56" s="39"/>
      <c r="O56" s="40"/>
    </row>
    <row r="57" spans="1:16" ht="22.5">
      <c r="A57" s="79">
        <v>3</v>
      </c>
      <c r="B57" s="65" t="s">
        <v>122</v>
      </c>
      <c r="C57" s="79" t="s">
        <v>121</v>
      </c>
      <c r="D57" s="42">
        <v>37.07</v>
      </c>
      <c r="E57" s="42">
        <v>50</v>
      </c>
      <c r="F57" s="30">
        <v>43.14</v>
      </c>
      <c r="G57" s="147">
        <f>((18+18+14+26+41)/(861+800+700+745+656))*1000</f>
        <v>31.100478468899521</v>
      </c>
      <c r="H57" s="156">
        <f>((18+18+14+26+41+26)/(861+800+700+745+656+674))*1000</f>
        <v>32.236248872858432</v>
      </c>
      <c r="I57" s="122">
        <v>43.14</v>
      </c>
      <c r="J57" s="23"/>
      <c r="K57" s="24"/>
      <c r="L57" s="24"/>
      <c r="M57" s="24" t="s">
        <v>250</v>
      </c>
      <c r="N57" s="39"/>
      <c r="O57" s="40"/>
    </row>
    <row r="58" spans="1:16" ht="22.5">
      <c r="A58" s="79">
        <v>4</v>
      </c>
      <c r="B58" s="65" t="s">
        <v>123</v>
      </c>
      <c r="C58" s="79" t="s">
        <v>124</v>
      </c>
      <c r="D58" s="42">
        <v>20.21</v>
      </c>
      <c r="E58" s="42" t="s">
        <v>256</v>
      </c>
      <c r="F58" s="30">
        <v>19.989999999999998</v>
      </c>
      <c r="G58" s="30"/>
      <c r="H58" s="376">
        <v>19.97</v>
      </c>
      <c r="I58" s="122">
        <v>19.989999999999998</v>
      </c>
      <c r="J58" s="23"/>
      <c r="K58" s="24"/>
      <c r="L58" s="24"/>
      <c r="M58" s="24" t="s">
        <v>250</v>
      </c>
      <c r="N58" s="39"/>
      <c r="O58" s="40"/>
    </row>
    <row r="59" spans="1:16" ht="22.5">
      <c r="A59" s="79">
        <v>5</v>
      </c>
      <c r="B59" s="65" t="s">
        <v>125</v>
      </c>
      <c r="C59" s="79" t="s">
        <v>126</v>
      </c>
      <c r="D59" s="42">
        <v>21.18</v>
      </c>
      <c r="E59" s="42">
        <v>80</v>
      </c>
      <c r="F59" s="30">
        <v>75</v>
      </c>
      <c r="G59" s="96">
        <f>1/3762*100000</f>
        <v>26.581605528973952</v>
      </c>
      <c r="H59" s="385">
        <f>1/4436*100000</f>
        <v>22.54283137962128</v>
      </c>
      <c r="I59" s="122">
        <v>75</v>
      </c>
      <c r="J59" s="23"/>
      <c r="K59" s="24"/>
      <c r="L59" s="24"/>
      <c r="M59" s="24" t="s">
        <v>250</v>
      </c>
      <c r="N59" s="39"/>
      <c r="O59" s="40"/>
    </row>
    <row r="60" spans="1:16" ht="72.75" customHeight="1">
      <c r="A60" s="373">
        <v>6</v>
      </c>
      <c r="B60" s="171" t="s">
        <v>127</v>
      </c>
      <c r="C60" s="373" t="s">
        <v>77</v>
      </c>
      <c r="D60" s="42">
        <v>29.17</v>
      </c>
      <c r="E60" s="42">
        <v>95</v>
      </c>
      <c r="F60" s="30">
        <v>94.2</v>
      </c>
      <c r="G60" s="137">
        <f>(702+822+826+1568)/9982*100</f>
        <v>39.250651172109798</v>
      </c>
      <c r="H60" s="387">
        <f>(702+822+826+1568+784)/9982*100</f>
        <v>47.104788619515126</v>
      </c>
      <c r="I60" s="122">
        <v>94.2</v>
      </c>
      <c r="J60" s="23"/>
      <c r="K60" s="24"/>
      <c r="L60" s="24"/>
      <c r="M60" s="24" t="s">
        <v>259</v>
      </c>
      <c r="N60" s="542" t="s">
        <v>264</v>
      </c>
      <c r="O60" s="543"/>
    </row>
    <row r="61" spans="1:16">
      <c r="A61" s="79">
        <v>7</v>
      </c>
      <c r="B61" s="65" t="s">
        <v>128</v>
      </c>
      <c r="C61" s="79" t="s">
        <v>77</v>
      </c>
      <c r="D61" s="42">
        <v>75.900000000000006</v>
      </c>
      <c r="E61" s="42"/>
      <c r="F61" s="30">
        <v>62.8</v>
      </c>
      <c r="G61" s="147">
        <f>((655+603+550+550+673)/(868+800+700+759+734))*100</f>
        <v>78.502978502978507</v>
      </c>
      <c r="H61" s="386">
        <f>((655+603+550+550+673+485)/(868+800+700+759+734+684))*100</f>
        <v>77.359735973597353</v>
      </c>
      <c r="I61" s="122">
        <v>62.8</v>
      </c>
      <c r="J61" s="23"/>
      <c r="K61" s="24"/>
      <c r="L61" s="24"/>
      <c r="M61" s="24"/>
      <c r="N61" s="39"/>
      <c r="O61" s="40"/>
    </row>
    <row r="62" spans="1:16">
      <c r="A62" s="79">
        <v>8</v>
      </c>
      <c r="B62" s="65" t="s">
        <v>129</v>
      </c>
      <c r="C62" s="79" t="s">
        <v>77</v>
      </c>
      <c r="D62" s="42">
        <v>73.260000000000005</v>
      </c>
      <c r="E62" s="42"/>
      <c r="F62" s="30">
        <v>68.5</v>
      </c>
      <c r="G62" s="147">
        <f>((731+562+584+650+592)/(868+800+700+759+734))*100</f>
        <v>80.782180782180774</v>
      </c>
      <c r="H62" s="379">
        <f>((731+562+584+650+592+530)/(868+800+700+759+734+684))*100</f>
        <v>80.286028602860284</v>
      </c>
      <c r="I62" s="122">
        <v>68.5</v>
      </c>
      <c r="J62" s="23"/>
      <c r="K62" s="24"/>
      <c r="L62" s="24"/>
      <c r="M62" s="24"/>
      <c r="N62" s="39"/>
      <c r="O62" s="40"/>
    </row>
    <row r="63" spans="1:16">
      <c r="A63" s="79">
        <v>9</v>
      </c>
      <c r="B63" s="65" t="s">
        <v>130</v>
      </c>
      <c r="C63" s="79"/>
      <c r="D63" s="42"/>
      <c r="E63" s="42"/>
      <c r="F63" s="30"/>
      <c r="G63" s="375"/>
      <c r="H63" s="376"/>
      <c r="I63" s="122"/>
      <c r="J63" s="23"/>
      <c r="K63" s="24"/>
      <c r="L63" s="24"/>
      <c r="M63" s="24"/>
      <c r="N63" s="39"/>
      <c r="O63" s="40"/>
    </row>
    <row r="64" spans="1:16">
      <c r="A64" s="87"/>
      <c r="B64" s="88" t="s">
        <v>131</v>
      </c>
      <c r="C64" s="87" t="s">
        <v>79</v>
      </c>
      <c r="D64" s="119">
        <v>2.8100270411063725E-2</v>
      </c>
      <c r="E64" s="119"/>
      <c r="F64" s="30">
        <v>2</v>
      </c>
      <c r="G64" s="96">
        <f>30/G13*1000</f>
        <v>0.35645964282743786</v>
      </c>
      <c r="H64" s="384">
        <f>33/469102*1000</f>
        <v>7.0347173962166012E-2</v>
      </c>
      <c r="I64" s="122">
        <v>2</v>
      </c>
      <c r="J64" s="23"/>
      <c r="K64" s="24"/>
      <c r="L64" s="24"/>
      <c r="M64" s="24"/>
      <c r="N64" s="39"/>
      <c r="O64" s="40"/>
    </row>
    <row r="65" spans="1:15">
      <c r="A65" s="80"/>
      <c r="B65" s="106" t="s">
        <v>132</v>
      </c>
      <c r="C65" s="80" t="s">
        <v>133</v>
      </c>
      <c r="D65" s="119">
        <v>6.9169896396464559</v>
      </c>
      <c r="E65" s="119"/>
      <c r="F65" s="30">
        <v>45.2</v>
      </c>
      <c r="G65" s="96">
        <f>49/G13*100000</f>
        <v>58.221741661814853</v>
      </c>
      <c r="H65" s="383">
        <f>49/H13*100000</f>
        <v>58.221741661814853</v>
      </c>
      <c r="I65" s="122">
        <v>45.2</v>
      </c>
      <c r="J65" s="23"/>
      <c r="K65" s="24"/>
      <c r="L65" s="24"/>
      <c r="M65" s="24"/>
      <c r="N65" s="39"/>
      <c r="O65" s="40"/>
    </row>
    <row r="66" spans="1:15">
      <c r="A66" s="80"/>
      <c r="B66" s="82" t="s">
        <v>134</v>
      </c>
      <c r="C66" s="80" t="s">
        <v>77</v>
      </c>
      <c r="D66" s="119">
        <v>0.37892133869688238</v>
      </c>
      <c r="E66" s="119"/>
      <c r="F66" s="30">
        <v>0.4</v>
      </c>
      <c r="G66" s="96">
        <f>1783/G13*100</f>
        <v>2.1185584772044059</v>
      </c>
      <c r="H66" s="151">
        <f>1800/469102*100</f>
        <v>0.38371185797545099</v>
      </c>
      <c r="I66" s="122">
        <v>0.4</v>
      </c>
      <c r="J66" s="23"/>
      <c r="K66" s="24"/>
      <c r="L66" s="24"/>
      <c r="M66" s="24"/>
      <c r="N66" s="39"/>
      <c r="O66" s="40"/>
    </row>
    <row r="67" spans="1:15">
      <c r="A67" s="79">
        <v>10</v>
      </c>
      <c r="B67" s="65" t="s">
        <v>135</v>
      </c>
      <c r="C67" s="66" t="s">
        <v>77</v>
      </c>
      <c r="D67" s="42">
        <v>93.86</v>
      </c>
      <c r="E67" s="42">
        <v>96.4</v>
      </c>
      <c r="F67" s="30">
        <v>96.8</v>
      </c>
      <c r="G67" s="375"/>
      <c r="H67" s="96">
        <f>438422/469102*100</f>
        <v>93.459844554062869</v>
      </c>
      <c r="I67" s="122">
        <v>96.8</v>
      </c>
      <c r="J67" s="23"/>
      <c r="K67" s="24"/>
      <c r="L67" s="24"/>
      <c r="M67" s="24" t="s">
        <v>250</v>
      </c>
      <c r="N67" s="39"/>
      <c r="O67" s="40"/>
    </row>
    <row r="68" spans="1:15">
      <c r="A68" s="77" t="s">
        <v>136</v>
      </c>
      <c r="B68" s="78" t="s">
        <v>137</v>
      </c>
      <c r="C68" s="77"/>
      <c r="D68" s="42"/>
      <c r="E68" s="42"/>
      <c r="F68" s="30"/>
      <c r="G68" s="30"/>
      <c r="H68" s="124"/>
      <c r="I68" s="122"/>
      <c r="J68" s="23"/>
      <c r="K68" s="24"/>
      <c r="L68" s="24"/>
      <c r="M68" s="24"/>
      <c r="N68" s="39"/>
      <c r="O68" s="40"/>
    </row>
    <row r="69" spans="1:15">
      <c r="A69" s="77">
        <v>1</v>
      </c>
      <c r="B69" s="78" t="s">
        <v>138</v>
      </c>
      <c r="C69" s="77"/>
      <c r="D69" s="42"/>
      <c r="E69" s="42"/>
      <c r="F69" s="30"/>
      <c r="G69" s="30"/>
      <c r="H69" s="124"/>
      <c r="I69" s="122"/>
      <c r="J69" s="23"/>
      <c r="K69" s="24"/>
      <c r="L69" s="24"/>
      <c r="M69" s="24"/>
      <c r="N69" s="39"/>
      <c r="O69" s="40"/>
    </row>
    <row r="70" spans="1:15">
      <c r="A70" s="79"/>
      <c r="B70" s="65" t="s">
        <v>139</v>
      </c>
      <c r="C70" s="79" t="s">
        <v>76</v>
      </c>
      <c r="D70" s="42">
        <v>56</v>
      </c>
      <c r="E70" s="42"/>
      <c r="F70" s="30">
        <v>50</v>
      </c>
      <c r="G70" s="30">
        <v>56</v>
      </c>
      <c r="H70" s="124">
        <v>56</v>
      </c>
      <c r="I70" s="124">
        <v>50</v>
      </c>
      <c r="J70" s="23"/>
      <c r="K70" s="24"/>
      <c r="L70" s="24"/>
      <c r="M70" s="24"/>
      <c r="N70" s="39"/>
      <c r="O70" s="40"/>
    </row>
    <row r="71" spans="1:15">
      <c r="A71" s="79"/>
      <c r="B71" s="65" t="s">
        <v>140</v>
      </c>
      <c r="C71" s="79" t="s">
        <v>76</v>
      </c>
      <c r="D71" s="42">
        <v>120</v>
      </c>
      <c r="E71" s="42"/>
      <c r="F71" s="30">
        <v>171</v>
      </c>
      <c r="G71" s="30">
        <v>120</v>
      </c>
      <c r="H71" s="124">
        <v>120</v>
      </c>
      <c r="I71" s="124">
        <v>171</v>
      </c>
      <c r="J71" s="23"/>
      <c r="K71" s="24"/>
      <c r="L71" s="24"/>
      <c r="M71" s="24"/>
      <c r="N71" s="39"/>
      <c r="O71" s="40"/>
    </row>
    <row r="72" spans="1:15">
      <c r="A72" s="79"/>
      <c r="B72" s="65" t="s">
        <v>141</v>
      </c>
      <c r="C72" s="79" t="s">
        <v>76</v>
      </c>
      <c r="D72" s="42">
        <v>82</v>
      </c>
      <c r="E72" s="42"/>
      <c r="F72" s="30"/>
      <c r="G72" s="30">
        <v>82</v>
      </c>
      <c r="H72" s="124">
        <v>82</v>
      </c>
      <c r="I72" s="124"/>
      <c r="J72" s="23"/>
      <c r="K72" s="24"/>
      <c r="L72" s="24"/>
      <c r="M72" s="24"/>
      <c r="N72" s="39"/>
      <c r="O72" s="40"/>
    </row>
    <row r="73" spans="1:15">
      <c r="A73" s="79"/>
      <c r="B73" s="65" t="s">
        <v>142</v>
      </c>
      <c r="C73" s="79" t="s">
        <v>76</v>
      </c>
      <c r="D73" s="42">
        <v>12</v>
      </c>
      <c r="E73" s="42"/>
      <c r="F73" s="30">
        <v>12</v>
      </c>
      <c r="G73" s="30">
        <v>12</v>
      </c>
      <c r="H73" s="124">
        <v>12</v>
      </c>
      <c r="I73" s="124">
        <v>12</v>
      </c>
      <c r="J73" s="23"/>
      <c r="K73" s="24"/>
      <c r="L73" s="24"/>
      <c r="M73" s="24"/>
      <c r="N73" s="39"/>
      <c r="O73" s="40"/>
    </row>
    <row r="74" spans="1:15">
      <c r="A74" s="77">
        <v>2</v>
      </c>
      <c r="B74" s="78" t="s">
        <v>143</v>
      </c>
      <c r="C74" s="77"/>
      <c r="D74" s="42"/>
      <c r="E74" s="42"/>
      <c r="F74" s="30"/>
      <c r="G74" s="30"/>
      <c r="H74" s="124"/>
      <c r="I74" s="124"/>
      <c r="J74" s="23"/>
      <c r="K74" s="24"/>
      <c r="L74" s="24"/>
      <c r="M74" s="24"/>
      <c r="N74" s="39"/>
      <c r="O74" s="40"/>
    </row>
    <row r="75" spans="1:15">
      <c r="A75" s="79"/>
      <c r="B75" s="65" t="s">
        <v>139</v>
      </c>
      <c r="C75" s="79" t="s">
        <v>76</v>
      </c>
      <c r="D75" s="42">
        <v>10</v>
      </c>
      <c r="E75" s="42"/>
      <c r="F75" s="30">
        <v>20</v>
      </c>
      <c r="G75" s="30">
        <v>0</v>
      </c>
      <c r="H75" s="124">
        <v>0</v>
      </c>
      <c r="I75" s="124">
        <v>20</v>
      </c>
      <c r="J75" s="23"/>
      <c r="K75" s="24"/>
      <c r="L75" s="24"/>
      <c r="M75" s="24"/>
      <c r="N75" s="39"/>
      <c r="O75" s="40"/>
    </row>
    <row r="76" spans="1:15">
      <c r="A76" s="79"/>
      <c r="B76" s="65" t="s">
        <v>140</v>
      </c>
      <c r="C76" s="79" t="s">
        <v>76</v>
      </c>
      <c r="D76" s="42">
        <v>80</v>
      </c>
      <c r="E76" s="42"/>
      <c r="F76" s="30">
        <v>15</v>
      </c>
      <c r="G76" s="30">
        <v>60</v>
      </c>
      <c r="H76" s="124">
        <v>60</v>
      </c>
      <c r="I76" s="124">
        <v>60</v>
      </c>
      <c r="J76" s="23"/>
      <c r="K76" s="24"/>
      <c r="L76" s="24"/>
      <c r="M76" s="24"/>
      <c r="N76" s="39"/>
      <c r="O76" s="40"/>
    </row>
    <row r="77" spans="1:15" ht="33.75">
      <c r="A77" s="79"/>
      <c r="B77" s="65" t="s">
        <v>144</v>
      </c>
      <c r="C77" s="79" t="s">
        <v>76</v>
      </c>
      <c r="D77" s="42">
        <v>118</v>
      </c>
      <c r="E77" s="42"/>
      <c r="F77" s="30">
        <v>0</v>
      </c>
      <c r="G77" s="30">
        <v>0</v>
      </c>
      <c r="H77" s="124">
        <v>0</v>
      </c>
      <c r="I77" s="124">
        <v>0</v>
      </c>
      <c r="J77" s="23"/>
      <c r="K77" s="24"/>
      <c r="L77" s="24"/>
      <c r="M77" s="24"/>
      <c r="N77" s="39"/>
      <c r="O77" s="40"/>
    </row>
    <row r="78" spans="1:15" ht="22.5">
      <c r="A78" s="51"/>
      <c r="B78" s="91" t="s">
        <v>145</v>
      </c>
      <c r="C78" s="92" t="s">
        <v>146</v>
      </c>
      <c r="D78" s="127">
        <v>2062</v>
      </c>
      <c r="E78" s="127"/>
      <c r="F78" s="124">
        <v>2200</v>
      </c>
      <c r="G78" s="124">
        <v>2245</v>
      </c>
      <c r="H78" s="124">
        <v>2295</v>
      </c>
      <c r="I78" s="124">
        <v>2200</v>
      </c>
      <c r="J78" s="23"/>
      <c r="K78" s="24"/>
      <c r="L78" s="24"/>
      <c r="M78" s="24"/>
      <c r="N78" s="39"/>
      <c r="O78" s="40"/>
    </row>
    <row r="79" spans="1:15" ht="15.75">
      <c r="A79" s="481" t="s">
        <v>33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</row>
  </sheetData>
  <mergeCells count="18">
    <mergeCell ref="A1:B1"/>
    <mergeCell ref="A2:O2"/>
    <mergeCell ref="A3:O3"/>
    <mergeCell ref="A5:A6"/>
    <mergeCell ref="B5:B6"/>
    <mergeCell ref="C5:C6"/>
    <mergeCell ref="D5:D6"/>
    <mergeCell ref="F5:I5"/>
    <mergeCell ref="N5:N6"/>
    <mergeCell ref="O5:O6"/>
    <mergeCell ref="B9:O9"/>
    <mergeCell ref="A79:O79"/>
    <mergeCell ref="E5:E6"/>
    <mergeCell ref="J5:M5"/>
    <mergeCell ref="N39:O40"/>
    <mergeCell ref="N41:O41"/>
    <mergeCell ref="M39:M40"/>
    <mergeCell ref="N60:O60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24"/>
  <sheetViews>
    <sheetView tabSelected="1" topLeftCell="A4" workbookViewId="0">
      <selection activeCell="BD7" sqref="BD7"/>
    </sheetView>
  </sheetViews>
  <sheetFormatPr defaultRowHeight="12.75"/>
  <cols>
    <col min="1" max="1" width="3.875" style="392" customWidth="1"/>
    <col min="2" max="2" width="15.75" style="392" customWidth="1"/>
    <col min="3" max="3" width="6.375" style="392" customWidth="1"/>
    <col min="4" max="4" width="5.375" style="392" customWidth="1"/>
    <col min="5" max="5" width="8.125" style="392" customWidth="1"/>
    <col min="6" max="6" width="7.75" style="392" customWidth="1"/>
    <col min="7" max="7" width="7" style="389" customWidth="1"/>
    <col min="8" max="8" width="5.25" style="389" customWidth="1"/>
    <col min="9" max="20" width="0" style="389" hidden="1" customWidth="1"/>
    <col min="21" max="21" width="6.125" style="392" customWidth="1"/>
    <col min="22" max="22" width="6.375" style="392" customWidth="1"/>
    <col min="23" max="23" width="6.125" style="389" customWidth="1"/>
    <col min="24" max="24" width="6.5" style="389" customWidth="1"/>
    <col min="25" max="36" width="0" style="389" hidden="1" customWidth="1"/>
    <col min="37" max="37" width="7.125" style="392" customWidth="1"/>
    <col min="38" max="38" width="6.875" style="392" customWidth="1"/>
    <col min="39" max="39" width="7.125" style="389" customWidth="1"/>
    <col min="40" max="40" width="6.625" style="389" customWidth="1"/>
    <col min="41" max="52" width="0" style="389" hidden="1" customWidth="1"/>
    <col min="53" max="53" width="7.25" style="396" customWidth="1"/>
    <col min="54" max="54" width="7" style="389" customWidth="1"/>
    <col min="55" max="55" width="0" style="389" hidden="1" customWidth="1"/>
    <col min="56" max="16384" width="9" style="389"/>
  </cols>
  <sheetData>
    <row r="1" spans="1:66" ht="15.75">
      <c r="A1" s="545" t="s">
        <v>266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  <c r="AY1" s="545"/>
      <c r="AZ1" s="545"/>
      <c r="BA1" s="545"/>
      <c r="BB1" s="545"/>
      <c r="BC1" s="545"/>
    </row>
    <row r="2" spans="1:66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</row>
    <row r="3" spans="1:66" s="390" customFormat="1" ht="24" customHeight="1">
      <c r="A3" s="547" t="s">
        <v>9</v>
      </c>
      <c r="B3" s="547" t="s">
        <v>267</v>
      </c>
      <c r="C3" s="547" t="s">
        <v>268</v>
      </c>
      <c r="D3" s="547"/>
      <c r="E3" s="547" t="s">
        <v>269</v>
      </c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547"/>
      <c r="BA3" s="547" t="s">
        <v>270</v>
      </c>
      <c r="BB3" s="547" t="s">
        <v>302</v>
      </c>
      <c r="BC3" s="547"/>
    </row>
    <row r="4" spans="1:66" s="390" customFormat="1" ht="24" customHeight="1">
      <c r="A4" s="547"/>
      <c r="B4" s="547"/>
      <c r="C4" s="547"/>
      <c r="D4" s="547"/>
      <c r="E4" s="547" t="s">
        <v>271</v>
      </c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 t="s">
        <v>272</v>
      </c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 t="s">
        <v>273</v>
      </c>
      <c r="AL4" s="547"/>
      <c r="AM4" s="547"/>
      <c r="AN4" s="547"/>
      <c r="AO4" s="547"/>
      <c r="AP4" s="547"/>
      <c r="AQ4" s="547"/>
      <c r="AR4" s="547"/>
      <c r="AS4" s="547"/>
      <c r="AT4" s="547"/>
      <c r="AU4" s="547"/>
      <c r="AV4" s="547"/>
      <c r="AW4" s="547"/>
      <c r="AX4" s="547"/>
      <c r="AY4" s="547"/>
      <c r="AZ4" s="547"/>
      <c r="BA4" s="547"/>
      <c r="BB4" s="547"/>
      <c r="BC4" s="547"/>
    </row>
    <row r="5" spans="1:66" s="390" customFormat="1" ht="24" customHeight="1">
      <c r="A5" s="547"/>
      <c r="B5" s="547"/>
      <c r="C5" s="547" t="s">
        <v>274</v>
      </c>
      <c r="D5" s="547" t="s">
        <v>275</v>
      </c>
      <c r="E5" s="547" t="s">
        <v>274</v>
      </c>
      <c r="F5" s="548" t="s">
        <v>304</v>
      </c>
      <c r="G5" s="547" t="s">
        <v>276</v>
      </c>
      <c r="H5" s="547" t="s">
        <v>303</v>
      </c>
      <c r="I5" s="547" t="s">
        <v>277</v>
      </c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 t="s">
        <v>274</v>
      </c>
      <c r="V5" s="548" t="s">
        <v>304</v>
      </c>
      <c r="W5" s="547" t="s">
        <v>276</v>
      </c>
      <c r="X5" s="547" t="s">
        <v>303</v>
      </c>
      <c r="Y5" s="547" t="s">
        <v>277</v>
      </c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 t="s">
        <v>274</v>
      </c>
      <c r="AL5" s="548" t="s">
        <v>304</v>
      </c>
      <c r="AM5" s="547" t="s">
        <v>276</v>
      </c>
      <c r="AN5" s="547" t="s">
        <v>303</v>
      </c>
      <c r="AO5" s="547" t="s">
        <v>277</v>
      </c>
      <c r="AP5" s="547"/>
      <c r="AQ5" s="547"/>
      <c r="AR5" s="547"/>
      <c r="AS5" s="547"/>
      <c r="AT5" s="547"/>
      <c r="AU5" s="547"/>
      <c r="AV5" s="547"/>
      <c r="AW5" s="547"/>
      <c r="AX5" s="547"/>
      <c r="AY5" s="547"/>
      <c r="AZ5" s="547"/>
      <c r="BA5" s="547"/>
      <c r="BB5" s="547"/>
      <c r="BC5" s="547"/>
    </row>
    <row r="6" spans="1:66" s="390" customFormat="1" ht="15" customHeight="1">
      <c r="A6" s="547"/>
      <c r="B6" s="547"/>
      <c r="C6" s="547"/>
      <c r="D6" s="547"/>
      <c r="E6" s="547"/>
      <c r="F6" s="548"/>
      <c r="G6" s="547"/>
      <c r="H6" s="547"/>
      <c r="I6" s="412" t="s">
        <v>38</v>
      </c>
      <c r="J6" s="412" t="s">
        <v>41</v>
      </c>
      <c r="K6" s="412" t="s">
        <v>40</v>
      </c>
      <c r="L6" s="412" t="s">
        <v>43</v>
      </c>
      <c r="M6" s="412" t="s">
        <v>45</v>
      </c>
      <c r="N6" s="412" t="s">
        <v>47</v>
      </c>
      <c r="O6" s="412" t="s">
        <v>49</v>
      </c>
      <c r="P6" s="412" t="s">
        <v>50</v>
      </c>
      <c r="Q6" s="412" t="s">
        <v>51</v>
      </c>
      <c r="R6" s="412" t="s">
        <v>52</v>
      </c>
      <c r="S6" s="412" t="s">
        <v>53</v>
      </c>
      <c r="T6" s="412" t="s">
        <v>54</v>
      </c>
      <c r="U6" s="547"/>
      <c r="V6" s="548"/>
      <c r="W6" s="547"/>
      <c r="X6" s="547"/>
      <c r="Y6" s="412" t="s">
        <v>38</v>
      </c>
      <c r="Z6" s="412" t="s">
        <v>41</v>
      </c>
      <c r="AA6" s="412" t="s">
        <v>40</v>
      </c>
      <c r="AB6" s="412" t="s">
        <v>43</v>
      </c>
      <c r="AC6" s="412" t="s">
        <v>45</v>
      </c>
      <c r="AD6" s="412" t="s">
        <v>47</v>
      </c>
      <c r="AE6" s="412" t="s">
        <v>49</v>
      </c>
      <c r="AF6" s="412" t="s">
        <v>50</v>
      </c>
      <c r="AG6" s="412" t="s">
        <v>51</v>
      </c>
      <c r="AH6" s="412" t="s">
        <v>52</v>
      </c>
      <c r="AI6" s="412" t="s">
        <v>53</v>
      </c>
      <c r="AJ6" s="412" t="s">
        <v>54</v>
      </c>
      <c r="AK6" s="547"/>
      <c r="AL6" s="548"/>
      <c r="AM6" s="547"/>
      <c r="AN6" s="547"/>
      <c r="AO6" s="412" t="s">
        <v>38</v>
      </c>
      <c r="AP6" s="412" t="s">
        <v>41</v>
      </c>
      <c r="AQ6" s="412" t="s">
        <v>40</v>
      </c>
      <c r="AR6" s="412" t="s">
        <v>43</v>
      </c>
      <c r="AS6" s="412" t="s">
        <v>45</v>
      </c>
      <c r="AT6" s="412" t="s">
        <v>47</v>
      </c>
      <c r="AU6" s="412" t="s">
        <v>49</v>
      </c>
      <c r="AV6" s="412" t="s">
        <v>50</v>
      </c>
      <c r="AW6" s="412" t="s">
        <v>51</v>
      </c>
      <c r="AX6" s="412" t="s">
        <v>52</v>
      </c>
      <c r="AY6" s="412" t="s">
        <v>53</v>
      </c>
      <c r="AZ6" s="412" t="s">
        <v>54</v>
      </c>
      <c r="BA6" s="547"/>
      <c r="BB6" s="547"/>
      <c r="BC6" s="547"/>
      <c r="BD6" s="391"/>
      <c r="BE6" s="391"/>
      <c r="BF6" s="549"/>
      <c r="BG6" s="549"/>
      <c r="BH6" s="549"/>
      <c r="BI6" s="549"/>
      <c r="BJ6" s="549"/>
      <c r="BK6" s="549"/>
      <c r="BL6" s="549"/>
      <c r="BM6" s="549"/>
      <c r="BN6" s="549"/>
    </row>
    <row r="7" spans="1:66" s="408" customFormat="1" ht="24.75" customHeight="1">
      <c r="A7" s="417"/>
      <c r="B7" s="417" t="s">
        <v>278</v>
      </c>
      <c r="C7" s="417">
        <f>C8+C13</f>
        <v>1580</v>
      </c>
      <c r="D7" s="417">
        <f t="shared" ref="D7:BA7" si="0">D8+D13</f>
        <v>2035</v>
      </c>
      <c r="E7" s="417">
        <f t="shared" si="0"/>
        <v>1168150</v>
      </c>
      <c r="F7" s="417">
        <f t="shared" si="0"/>
        <v>533344</v>
      </c>
      <c r="G7" s="417">
        <f t="shared" si="0"/>
        <v>493521</v>
      </c>
      <c r="H7" s="431">
        <f t="shared" ref="H7:H21" si="1">G7/E7*100</f>
        <v>42.248084578179174</v>
      </c>
      <c r="I7" s="417">
        <f t="shared" si="0"/>
        <v>77793</v>
      </c>
      <c r="J7" s="417">
        <f>J8+J13</f>
        <v>71926</v>
      </c>
      <c r="K7" s="417">
        <f t="shared" si="0"/>
        <v>91899</v>
      </c>
      <c r="L7" s="417">
        <f t="shared" si="0"/>
        <v>85143</v>
      </c>
      <c r="M7" s="417">
        <f t="shared" si="0"/>
        <v>76733</v>
      </c>
      <c r="N7" s="417">
        <f t="shared" si="0"/>
        <v>90027</v>
      </c>
      <c r="O7" s="417">
        <f t="shared" si="0"/>
        <v>0</v>
      </c>
      <c r="P7" s="417">
        <f t="shared" si="0"/>
        <v>0</v>
      </c>
      <c r="Q7" s="417">
        <f t="shared" si="0"/>
        <v>0</v>
      </c>
      <c r="R7" s="417">
        <f t="shared" si="0"/>
        <v>0</v>
      </c>
      <c r="S7" s="417">
        <f t="shared" si="0"/>
        <v>0</v>
      </c>
      <c r="T7" s="417">
        <f t="shared" si="0"/>
        <v>0</v>
      </c>
      <c r="U7" s="417">
        <f t="shared" si="0"/>
        <v>85050</v>
      </c>
      <c r="V7" s="417">
        <f t="shared" si="0"/>
        <v>39825</v>
      </c>
      <c r="W7" s="417">
        <f t="shared" si="0"/>
        <v>33040</v>
      </c>
      <c r="X7" s="431">
        <f t="shared" ref="X7:X11" si="2">W7/U7*100</f>
        <v>38.847736625514401</v>
      </c>
      <c r="Y7" s="417">
        <f t="shared" si="0"/>
        <v>6944</v>
      </c>
      <c r="Z7" s="417">
        <f t="shared" si="0"/>
        <v>6068</v>
      </c>
      <c r="AA7" s="417">
        <f t="shared" si="0"/>
        <v>5670</v>
      </c>
      <c r="AB7" s="417">
        <f t="shared" si="0"/>
        <v>4990</v>
      </c>
      <c r="AC7" s="417">
        <f t="shared" si="0"/>
        <v>3919</v>
      </c>
      <c r="AD7" s="417">
        <f t="shared" si="0"/>
        <v>5449</v>
      </c>
      <c r="AE7" s="417">
        <f t="shared" si="0"/>
        <v>0</v>
      </c>
      <c r="AF7" s="417">
        <f t="shared" si="0"/>
        <v>0</v>
      </c>
      <c r="AG7" s="417">
        <f t="shared" si="0"/>
        <v>0</v>
      </c>
      <c r="AH7" s="417">
        <f t="shared" si="0"/>
        <v>0</v>
      </c>
      <c r="AI7" s="417">
        <f t="shared" si="0"/>
        <v>0</v>
      </c>
      <c r="AJ7" s="417">
        <f t="shared" si="0"/>
        <v>0</v>
      </c>
      <c r="AK7" s="417">
        <f t="shared" si="0"/>
        <v>658900</v>
      </c>
      <c r="AL7" s="417">
        <f t="shared" si="0"/>
        <v>296834</v>
      </c>
      <c r="AM7" s="417">
        <f t="shared" si="0"/>
        <v>268876</v>
      </c>
      <c r="AN7" s="431">
        <f t="shared" ref="AN7:AN21" si="3">AM7/AK7*100</f>
        <v>40.806799210805892</v>
      </c>
      <c r="AO7" s="417">
        <f t="shared" si="0"/>
        <v>47274</v>
      </c>
      <c r="AP7" s="417">
        <f t="shared" si="0"/>
        <v>42641</v>
      </c>
      <c r="AQ7" s="417">
        <f t="shared" si="0"/>
        <v>51163</v>
      </c>
      <c r="AR7" s="417">
        <f t="shared" si="0"/>
        <v>44673</v>
      </c>
      <c r="AS7" s="417">
        <f t="shared" si="0"/>
        <v>37469</v>
      </c>
      <c r="AT7" s="417">
        <f t="shared" si="0"/>
        <v>45656</v>
      </c>
      <c r="AU7" s="417">
        <f t="shared" si="0"/>
        <v>0</v>
      </c>
      <c r="AV7" s="417">
        <f t="shared" si="0"/>
        <v>0</v>
      </c>
      <c r="AW7" s="417">
        <f t="shared" si="0"/>
        <v>0</v>
      </c>
      <c r="AX7" s="417">
        <f t="shared" si="0"/>
        <v>0</v>
      </c>
      <c r="AY7" s="417">
        <f t="shared" si="0"/>
        <v>0</v>
      </c>
      <c r="AZ7" s="417">
        <f t="shared" si="0"/>
        <v>0</v>
      </c>
      <c r="BA7" s="417">
        <f t="shared" si="0"/>
        <v>193396</v>
      </c>
      <c r="BB7" s="431">
        <f>BA7/(C7*182.5)*100</f>
        <v>67.069880353736778</v>
      </c>
      <c r="BC7" s="405">
        <v>94.486537553141233</v>
      </c>
      <c r="BD7" s="406">
        <f>((AM7-AL70)/AL7)*100</f>
        <v>90.581267644542066</v>
      </c>
      <c r="BE7" s="407"/>
      <c r="BF7" s="407"/>
      <c r="BG7" s="407"/>
      <c r="BH7" s="407"/>
      <c r="BI7" s="407"/>
      <c r="BJ7" s="407"/>
      <c r="BK7" s="407"/>
      <c r="BL7" s="407"/>
      <c r="BM7" s="407"/>
      <c r="BN7" s="407"/>
    </row>
    <row r="8" spans="1:66" s="410" customFormat="1" ht="24.75" customHeight="1">
      <c r="A8" s="418" t="s">
        <v>12</v>
      </c>
      <c r="B8" s="419" t="s">
        <v>279</v>
      </c>
      <c r="C8" s="417">
        <f>SUM(C9:C12)</f>
        <v>660</v>
      </c>
      <c r="D8" s="417">
        <f>SUM(D9:D12)</f>
        <v>787</v>
      </c>
      <c r="E8" s="417">
        <f>SUM(E9:E12)</f>
        <v>121150</v>
      </c>
      <c r="F8" s="417">
        <f>SUM(F9:F12)</f>
        <v>51813</v>
      </c>
      <c r="G8" s="417">
        <f>SUM(G9:G12)</f>
        <v>48043</v>
      </c>
      <c r="H8" s="431">
        <f t="shared" si="1"/>
        <v>39.655798596780848</v>
      </c>
      <c r="I8" s="417">
        <f>SUM(I9:I12)</f>
        <v>8859</v>
      </c>
      <c r="J8" s="417">
        <f t="shared" ref="J8:W8" si="4">SUM(J9:J12)</f>
        <v>7572</v>
      </c>
      <c r="K8" s="417">
        <f t="shared" si="4"/>
        <v>8772</v>
      </c>
      <c r="L8" s="417">
        <f t="shared" si="4"/>
        <v>5553</v>
      </c>
      <c r="M8" s="417">
        <f t="shared" si="4"/>
        <v>7371</v>
      </c>
      <c r="N8" s="417">
        <f t="shared" si="4"/>
        <v>9916</v>
      </c>
      <c r="O8" s="417">
        <f t="shared" si="4"/>
        <v>0</v>
      </c>
      <c r="P8" s="417">
        <f t="shared" si="4"/>
        <v>0</v>
      </c>
      <c r="Q8" s="417">
        <f t="shared" si="4"/>
        <v>0</v>
      </c>
      <c r="R8" s="417">
        <f t="shared" si="4"/>
        <v>0</v>
      </c>
      <c r="S8" s="417">
        <f t="shared" si="4"/>
        <v>0</v>
      </c>
      <c r="T8" s="417">
        <f t="shared" si="4"/>
        <v>0</v>
      </c>
      <c r="U8" s="417">
        <f t="shared" si="4"/>
        <v>31850</v>
      </c>
      <c r="V8" s="417">
        <f t="shared" si="4"/>
        <v>13981</v>
      </c>
      <c r="W8" s="417">
        <f t="shared" si="4"/>
        <v>11281</v>
      </c>
      <c r="X8" s="431">
        <f t="shared" si="2"/>
        <v>35.419152276295137</v>
      </c>
      <c r="Y8" s="417">
        <f>SUM(Y9:Y12)</f>
        <v>2252</v>
      </c>
      <c r="Z8" s="417">
        <f t="shared" ref="Z8:AM8" si="5">SUM(Z9:Z12)</f>
        <v>1911</v>
      </c>
      <c r="AA8" s="417">
        <f t="shared" si="5"/>
        <v>1940</v>
      </c>
      <c r="AB8" s="417">
        <f t="shared" si="5"/>
        <v>1390</v>
      </c>
      <c r="AC8" s="417">
        <f t="shared" si="5"/>
        <v>1521</v>
      </c>
      <c r="AD8" s="417">
        <f t="shared" si="5"/>
        <v>2267</v>
      </c>
      <c r="AE8" s="417">
        <f t="shared" si="5"/>
        <v>0</v>
      </c>
      <c r="AF8" s="417">
        <f t="shared" si="5"/>
        <v>0</v>
      </c>
      <c r="AG8" s="417">
        <f t="shared" si="5"/>
        <v>0</v>
      </c>
      <c r="AH8" s="417">
        <f t="shared" si="5"/>
        <v>0</v>
      </c>
      <c r="AI8" s="417">
        <f t="shared" si="5"/>
        <v>0</v>
      </c>
      <c r="AJ8" s="417">
        <f t="shared" si="5"/>
        <v>0</v>
      </c>
      <c r="AK8" s="417">
        <f t="shared" si="5"/>
        <v>86400</v>
      </c>
      <c r="AL8" s="417">
        <f t="shared" si="5"/>
        <v>37352</v>
      </c>
      <c r="AM8" s="417">
        <f t="shared" si="5"/>
        <v>36154</v>
      </c>
      <c r="AN8" s="431">
        <f t="shared" si="3"/>
        <v>41.844907407407405</v>
      </c>
      <c r="AO8" s="417">
        <f>SUM(AO9:AO12)</f>
        <v>6522</v>
      </c>
      <c r="AP8" s="417">
        <f t="shared" ref="AP8:BA8" si="6">SUM(AP9:AP12)</f>
        <v>5549</v>
      </c>
      <c r="AQ8" s="417">
        <f t="shared" si="6"/>
        <v>6721</v>
      </c>
      <c r="AR8" s="417">
        <f t="shared" si="6"/>
        <v>4088</v>
      </c>
      <c r="AS8" s="417">
        <f t="shared" si="6"/>
        <v>5754</v>
      </c>
      <c r="AT8" s="417">
        <f t="shared" si="6"/>
        <v>7520</v>
      </c>
      <c r="AU8" s="417">
        <f t="shared" si="6"/>
        <v>0</v>
      </c>
      <c r="AV8" s="417">
        <f t="shared" si="6"/>
        <v>0</v>
      </c>
      <c r="AW8" s="417">
        <f t="shared" si="6"/>
        <v>0</v>
      </c>
      <c r="AX8" s="417">
        <f t="shared" si="6"/>
        <v>0</v>
      </c>
      <c r="AY8" s="417">
        <f t="shared" si="6"/>
        <v>0</v>
      </c>
      <c r="AZ8" s="417">
        <f t="shared" si="6"/>
        <v>0</v>
      </c>
      <c r="BA8" s="417">
        <f t="shared" si="6"/>
        <v>68370</v>
      </c>
      <c r="BB8" s="431">
        <f t="shared" ref="BB8:BB21" si="7">BA8/(C8*182.5)*100</f>
        <v>56.762141967621417</v>
      </c>
      <c r="BC8" s="409">
        <v>86.107267239377762</v>
      </c>
      <c r="BL8" s="411"/>
      <c r="BM8" s="411"/>
      <c r="BN8" s="411"/>
    </row>
    <row r="9" spans="1:66" s="415" customFormat="1" ht="24.75" customHeight="1">
      <c r="A9" s="420">
        <v>1</v>
      </c>
      <c r="B9" s="421" t="s">
        <v>280</v>
      </c>
      <c r="C9" s="420">
        <v>500</v>
      </c>
      <c r="D9" s="420">
        <v>621</v>
      </c>
      <c r="E9" s="420">
        <v>103000</v>
      </c>
      <c r="F9" s="422">
        <v>46302</v>
      </c>
      <c r="G9" s="423">
        <f>SUM(I9:T9)</f>
        <v>40281</v>
      </c>
      <c r="H9" s="432">
        <f t="shared" si="1"/>
        <v>39.10776699029126</v>
      </c>
      <c r="I9" s="424">
        <v>7587</v>
      </c>
      <c r="J9" s="424">
        <v>6208</v>
      </c>
      <c r="K9" s="424">
        <v>7324</v>
      </c>
      <c r="L9" s="424">
        <v>4369</v>
      </c>
      <c r="M9" s="424">
        <v>6210</v>
      </c>
      <c r="N9" s="424">
        <v>8583</v>
      </c>
      <c r="O9" s="424"/>
      <c r="P9" s="424"/>
      <c r="Q9" s="424"/>
      <c r="R9" s="424"/>
      <c r="S9" s="424"/>
      <c r="T9" s="424"/>
      <c r="U9" s="420">
        <v>28050</v>
      </c>
      <c r="V9" s="422">
        <v>12452</v>
      </c>
      <c r="W9" s="423">
        <f>SUM(Y9:AJ9)</f>
        <v>10164</v>
      </c>
      <c r="X9" s="432">
        <f t="shared" si="2"/>
        <v>36.235294117647058</v>
      </c>
      <c r="Y9" s="424">
        <v>2065</v>
      </c>
      <c r="Z9" s="424">
        <v>1767</v>
      </c>
      <c r="AA9" s="424">
        <v>1704</v>
      </c>
      <c r="AB9" s="424">
        <v>1184</v>
      </c>
      <c r="AC9" s="424">
        <v>1404</v>
      </c>
      <c r="AD9" s="424">
        <v>2040</v>
      </c>
      <c r="AE9" s="424"/>
      <c r="AF9" s="424"/>
      <c r="AG9" s="424"/>
      <c r="AH9" s="424"/>
      <c r="AI9" s="424"/>
      <c r="AJ9" s="424"/>
      <c r="AK9" s="422">
        <v>75000</v>
      </c>
      <c r="AL9" s="422">
        <v>33850</v>
      </c>
      <c r="AM9" s="423">
        <f>SUM(AO9:AZ9)</f>
        <v>30117</v>
      </c>
      <c r="AN9" s="432">
        <f t="shared" si="3"/>
        <v>40.155999999999999</v>
      </c>
      <c r="AO9" s="422">
        <v>5522</v>
      </c>
      <c r="AP9" s="422">
        <v>4441</v>
      </c>
      <c r="AQ9" s="422">
        <v>5620</v>
      </c>
      <c r="AR9" s="422">
        <v>3185</v>
      </c>
      <c r="AS9" s="422">
        <v>4806</v>
      </c>
      <c r="AT9" s="422">
        <v>6543</v>
      </c>
      <c r="AU9" s="422"/>
      <c r="AV9" s="422"/>
      <c r="AW9" s="422"/>
      <c r="AX9" s="422"/>
      <c r="AY9" s="422"/>
      <c r="AZ9" s="422"/>
      <c r="BA9" s="422">
        <v>57833</v>
      </c>
      <c r="BB9" s="432">
        <f t="shared" si="7"/>
        <v>63.378630136986303</v>
      </c>
      <c r="BC9" s="413">
        <v>89.737595129375947</v>
      </c>
      <c r="BD9" s="414"/>
    </row>
    <row r="10" spans="1:66" s="415" customFormat="1" ht="24.75" customHeight="1">
      <c r="A10" s="420">
        <v>2</v>
      </c>
      <c r="B10" s="421" t="s">
        <v>281</v>
      </c>
      <c r="C10" s="420">
        <v>80</v>
      </c>
      <c r="D10" s="420">
        <v>70</v>
      </c>
      <c r="E10" s="420">
        <v>4200</v>
      </c>
      <c r="F10" s="422">
        <v>1849</v>
      </c>
      <c r="G10" s="423">
        <f>SUM(I10:T10)</f>
        <v>1363</v>
      </c>
      <c r="H10" s="432">
        <f t="shared" si="1"/>
        <v>32.452380952380956</v>
      </c>
      <c r="I10" s="422">
        <v>182</v>
      </c>
      <c r="J10" s="422">
        <v>249</v>
      </c>
      <c r="K10" s="422">
        <v>293</v>
      </c>
      <c r="L10" s="422">
        <v>241</v>
      </c>
      <c r="M10" s="422">
        <v>171</v>
      </c>
      <c r="N10" s="422">
        <v>227</v>
      </c>
      <c r="O10" s="422"/>
      <c r="P10" s="422"/>
      <c r="Q10" s="422"/>
      <c r="R10" s="422"/>
      <c r="S10" s="422"/>
      <c r="T10" s="422"/>
      <c r="U10" s="420">
        <v>1800</v>
      </c>
      <c r="V10" s="422">
        <v>733</v>
      </c>
      <c r="W10" s="423">
        <f>SUM(Y10:AJ10)</f>
        <v>558</v>
      </c>
      <c r="X10" s="432">
        <f t="shared" si="2"/>
        <v>31</v>
      </c>
      <c r="Y10" s="422">
        <v>86</v>
      </c>
      <c r="Z10" s="422">
        <v>92</v>
      </c>
      <c r="AA10" s="422">
        <v>134</v>
      </c>
      <c r="AB10" s="422">
        <v>108</v>
      </c>
      <c r="AC10" s="422">
        <v>48</v>
      </c>
      <c r="AD10" s="422">
        <v>90</v>
      </c>
      <c r="AE10" s="422"/>
      <c r="AF10" s="422"/>
      <c r="AG10" s="422"/>
      <c r="AH10" s="422"/>
      <c r="AI10" s="422"/>
      <c r="AJ10" s="422"/>
      <c r="AK10" s="422">
        <v>1800</v>
      </c>
      <c r="AL10" s="422">
        <v>929</v>
      </c>
      <c r="AM10" s="423">
        <f>SUM(AO10:AZ10)</f>
        <v>611</v>
      </c>
      <c r="AN10" s="432">
        <f t="shared" si="3"/>
        <v>33.944444444444443</v>
      </c>
      <c r="AO10" s="422">
        <v>75</v>
      </c>
      <c r="AP10" s="422">
        <v>104</v>
      </c>
      <c r="AQ10" s="422">
        <v>127</v>
      </c>
      <c r="AR10" s="422">
        <v>104</v>
      </c>
      <c r="AS10" s="422">
        <v>98</v>
      </c>
      <c r="AT10" s="422">
        <v>103</v>
      </c>
      <c r="AU10" s="422"/>
      <c r="AV10" s="422"/>
      <c r="AW10" s="422"/>
      <c r="AX10" s="422"/>
      <c r="AY10" s="422"/>
      <c r="AZ10" s="422"/>
      <c r="BA10" s="422">
        <v>5394</v>
      </c>
      <c r="BB10" s="432">
        <f t="shared" si="7"/>
        <v>36.945205479452056</v>
      </c>
      <c r="BC10" s="413">
        <v>68.853228962818008</v>
      </c>
      <c r="BD10" s="414"/>
    </row>
    <row r="11" spans="1:66" s="415" customFormat="1" ht="24.75" customHeight="1">
      <c r="A11" s="420">
        <v>3</v>
      </c>
      <c r="B11" s="421" t="s">
        <v>282</v>
      </c>
      <c r="C11" s="420">
        <v>80</v>
      </c>
      <c r="D11" s="420">
        <v>96</v>
      </c>
      <c r="E11" s="420">
        <v>5150</v>
      </c>
      <c r="F11" s="422">
        <v>2125</v>
      </c>
      <c r="G11" s="423">
        <f>SUM(I11:T11)</f>
        <v>1652</v>
      </c>
      <c r="H11" s="432">
        <f t="shared" si="1"/>
        <v>32.077669902912618</v>
      </c>
      <c r="I11" s="425">
        <v>302</v>
      </c>
      <c r="J11" s="425">
        <v>229</v>
      </c>
      <c r="K11" s="425">
        <v>290</v>
      </c>
      <c r="L11" s="422">
        <v>265</v>
      </c>
      <c r="M11" s="422">
        <v>225</v>
      </c>
      <c r="N11" s="422">
        <v>341</v>
      </c>
      <c r="O11" s="422"/>
      <c r="P11" s="422"/>
      <c r="Q11" s="422"/>
      <c r="R11" s="422"/>
      <c r="S11" s="422"/>
      <c r="T11" s="422"/>
      <c r="U11" s="420">
        <v>2000</v>
      </c>
      <c r="V11" s="422">
        <v>796</v>
      </c>
      <c r="W11" s="423">
        <f>SUM(Y11:AJ11)</f>
        <v>559</v>
      </c>
      <c r="X11" s="432">
        <f t="shared" si="2"/>
        <v>27.950000000000003</v>
      </c>
      <c r="Y11" s="422">
        <v>101</v>
      </c>
      <c r="Z11" s="422">
        <v>52</v>
      </c>
      <c r="AA11" s="422">
        <v>102</v>
      </c>
      <c r="AB11" s="422">
        <v>98</v>
      </c>
      <c r="AC11" s="422">
        <v>69</v>
      </c>
      <c r="AD11" s="422">
        <v>137</v>
      </c>
      <c r="AE11" s="422"/>
      <c r="AF11" s="422"/>
      <c r="AG11" s="422"/>
      <c r="AH11" s="422"/>
      <c r="AI11" s="422"/>
      <c r="AJ11" s="422"/>
      <c r="AK11" s="422">
        <v>2600</v>
      </c>
      <c r="AL11" s="422">
        <v>1046</v>
      </c>
      <c r="AM11" s="423">
        <f>SUM(AO11:AZ11)</f>
        <v>973</v>
      </c>
      <c r="AN11" s="432">
        <f t="shared" si="3"/>
        <v>37.423076923076927</v>
      </c>
      <c r="AO11" s="422">
        <v>179</v>
      </c>
      <c r="AP11" s="422">
        <v>156</v>
      </c>
      <c r="AQ11" s="422">
        <v>157</v>
      </c>
      <c r="AR11" s="422">
        <v>145</v>
      </c>
      <c r="AS11" s="422">
        <v>156</v>
      </c>
      <c r="AT11" s="422">
        <v>180</v>
      </c>
      <c r="AU11" s="422"/>
      <c r="AV11" s="422"/>
      <c r="AW11" s="422"/>
      <c r="AX11" s="422"/>
      <c r="AY11" s="422"/>
      <c r="AZ11" s="422"/>
      <c r="BA11" s="422">
        <v>5143</v>
      </c>
      <c r="BB11" s="432">
        <f t="shared" si="7"/>
        <v>35.226027397260275</v>
      </c>
      <c r="BC11" s="413">
        <v>80.023483365949119</v>
      </c>
      <c r="BD11" s="414"/>
    </row>
    <row r="12" spans="1:66" s="415" customFormat="1" ht="24.75" customHeight="1">
      <c r="A12" s="420">
        <v>4</v>
      </c>
      <c r="B12" s="426" t="s">
        <v>308</v>
      </c>
      <c r="C12" s="420">
        <v>0</v>
      </c>
      <c r="D12" s="420"/>
      <c r="E12" s="420">
        <v>8800</v>
      </c>
      <c r="F12" s="422">
        <v>1537</v>
      </c>
      <c r="G12" s="423">
        <f>SUM(I12:T12)</f>
        <v>4747</v>
      </c>
      <c r="H12" s="432">
        <f t="shared" si="1"/>
        <v>53.94318181818182</v>
      </c>
      <c r="I12" s="425">
        <v>788</v>
      </c>
      <c r="J12" s="425">
        <v>886</v>
      </c>
      <c r="K12" s="425">
        <v>865</v>
      </c>
      <c r="L12" s="422">
        <v>678</v>
      </c>
      <c r="M12" s="422">
        <v>765</v>
      </c>
      <c r="N12" s="422">
        <v>765</v>
      </c>
      <c r="O12" s="422"/>
      <c r="P12" s="422"/>
      <c r="Q12" s="422"/>
      <c r="R12" s="422"/>
      <c r="S12" s="422"/>
      <c r="T12" s="422"/>
      <c r="U12" s="420">
        <v>0</v>
      </c>
      <c r="V12" s="422"/>
      <c r="W12" s="423">
        <f>SUM(Y12:AJ12)</f>
        <v>0</v>
      </c>
      <c r="X12" s="43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>
        <v>7000</v>
      </c>
      <c r="AL12" s="422">
        <v>1527</v>
      </c>
      <c r="AM12" s="423">
        <f>SUM(AO12:AZ12)</f>
        <v>4453</v>
      </c>
      <c r="AN12" s="432">
        <f t="shared" si="3"/>
        <v>63.614285714285714</v>
      </c>
      <c r="AO12" s="422">
        <v>746</v>
      </c>
      <c r="AP12" s="422">
        <v>848</v>
      </c>
      <c r="AQ12" s="422">
        <v>817</v>
      </c>
      <c r="AR12" s="422">
        <v>654</v>
      </c>
      <c r="AS12" s="422">
        <v>694</v>
      </c>
      <c r="AT12" s="422">
        <v>694</v>
      </c>
      <c r="AU12" s="422"/>
      <c r="AV12" s="422"/>
      <c r="AW12" s="422"/>
      <c r="AX12" s="422"/>
      <c r="AY12" s="422"/>
      <c r="AZ12" s="422"/>
      <c r="BA12" s="422"/>
      <c r="BB12" s="432"/>
      <c r="BC12" s="413"/>
    </row>
    <row r="13" spans="1:66" s="410" customFormat="1" ht="24.75" customHeight="1">
      <c r="A13" s="418" t="s">
        <v>101</v>
      </c>
      <c r="B13" s="419" t="s">
        <v>283</v>
      </c>
      <c r="C13" s="417">
        <f>SUM(C14:C21)</f>
        <v>920</v>
      </c>
      <c r="D13" s="417">
        <f>SUM(D14:D21)</f>
        <v>1248</v>
      </c>
      <c r="E13" s="417">
        <f>SUM(E14:E21)</f>
        <v>1047000</v>
      </c>
      <c r="F13" s="417">
        <f>SUM(F14:F21)</f>
        <v>481531</v>
      </c>
      <c r="G13" s="417">
        <f>SUM(G14:G21)</f>
        <v>445478</v>
      </c>
      <c r="H13" s="431">
        <f t="shared" si="1"/>
        <v>42.548042024832853</v>
      </c>
      <c r="I13" s="417">
        <f t="shared" ref="I13:W13" si="8">SUM(I14:I21)</f>
        <v>68934</v>
      </c>
      <c r="J13" s="417">
        <f t="shared" si="8"/>
        <v>64354</v>
      </c>
      <c r="K13" s="417">
        <f t="shared" si="8"/>
        <v>83127</v>
      </c>
      <c r="L13" s="417">
        <f t="shared" si="8"/>
        <v>79590</v>
      </c>
      <c r="M13" s="417">
        <f t="shared" si="8"/>
        <v>69362</v>
      </c>
      <c r="N13" s="417">
        <f t="shared" si="8"/>
        <v>80111</v>
      </c>
      <c r="O13" s="417">
        <f t="shared" si="8"/>
        <v>0</v>
      </c>
      <c r="P13" s="417">
        <f t="shared" si="8"/>
        <v>0</v>
      </c>
      <c r="Q13" s="417">
        <f t="shared" si="8"/>
        <v>0</v>
      </c>
      <c r="R13" s="417">
        <f t="shared" si="8"/>
        <v>0</v>
      </c>
      <c r="S13" s="417">
        <f t="shared" si="8"/>
        <v>0</v>
      </c>
      <c r="T13" s="417">
        <f t="shared" si="8"/>
        <v>0</v>
      </c>
      <c r="U13" s="417">
        <f t="shared" si="8"/>
        <v>53200</v>
      </c>
      <c r="V13" s="417">
        <f t="shared" si="8"/>
        <v>25844</v>
      </c>
      <c r="W13" s="417">
        <f t="shared" si="8"/>
        <v>21759</v>
      </c>
      <c r="X13" s="431">
        <f t="shared" ref="X13:X20" si="9">W13/U13*100</f>
        <v>40.900375939849624</v>
      </c>
      <c r="Y13" s="417">
        <f t="shared" ref="Y13:AM13" si="10">SUM(Y14:Y21)</f>
        <v>4692</v>
      </c>
      <c r="Z13" s="417">
        <f t="shared" si="10"/>
        <v>4157</v>
      </c>
      <c r="AA13" s="417">
        <f t="shared" si="10"/>
        <v>3730</v>
      </c>
      <c r="AB13" s="417">
        <f t="shared" si="10"/>
        <v>3600</v>
      </c>
      <c r="AC13" s="417">
        <f t="shared" si="10"/>
        <v>2398</v>
      </c>
      <c r="AD13" s="417">
        <f t="shared" si="10"/>
        <v>3182</v>
      </c>
      <c r="AE13" s="417">
        <f t="shared" si="10"/>
        <v>0</v>
      </c>
      <c r="AF13" s="417">
        <f t="shared" si="10"/>
        <v>0</v>
      </c>
      <c r="AG13" s="417">
        <f t="shared" si="10"/>
        <v>0</v>
      </c>
      <c r="AH13" s="417">
        <f t="shared" si="10"/>
        <v>0</v>
      </c>
      <c r="AI13" s="417">
        <f t="shared" si="10"/>
        <v>0</v>
      </c>
      <c r="AJ13" s="417">
        <f t="shared" si="10"/>
        <v>0</v>
      </c>
      <c r="AK13" s="417">
        <f t="shared" si="10"/>
        <v>572500</v>
      </c>
      <c r="AL13" s="417">
        <f t="shared" si="10"/>
        <v>259482</v>
      </c>
      <c r="AM13" s="417">
        <f t="shared" si="10"/>
        <v>232722</v>
      </c>
      <c r="AN13" s="431">
        <f t="shared" si="3"/>
        <v>40.650131004366813</v>
      </c>
      <c r="AO13" s="417">
        <f t="shared" ref="AO13:BA13" si="11">SUM(AO14:AO21)</f>
        <v>40752</v>
      </c>
      <c r="AP13" s="417">
        <f t="shared" si="11"/>
        <v>37092</v>
      </c>
      <c r="AQ13" s="417">
        <f t="shared" si="11"/>
        <v>44442</v>
      </c>
      <c r="AR13" s="417">
        <f t="shared" si="11"/>
        <v>40585</v>
      </c>
      <c r="AS13" s="417">
        <f t="shared" si="11"/>
        <v>31715</v>
      </c>
      <c r="AT13" s="417">
        <f t="shared" si="11"/>
        <v>38136</v>
      </c>
      <c r="AU13" s="417">
        <f t="shared" si="11"/>
        <v>0</v>
      </c>
      <c r="AV13" s="417">
        <f t="shared" si="11"/>
        <v>0</v>
      </c>
      <c r="AW13" s="417">
        <f t="shared" si="11"/>
        <v>0</v>
      </c>
      <c r="AX13" s="417">
        <f t="shared" si="11"/>
        <v>0</v>
      </c>
      <c r="AY13" s="417">
        <f t="shared" si="11"/>
        <v>0</v>
      </c>
      <c r="AZ13" s="417">
        <f t="shared" si="11"/>
        <v>0</v>
      </c>
      <c r="BA13" s="417">
        <f t="shared" si="11"/>
        <v>125026</v>
      </c>
      <c r="BB13" s="431">
        <f t="shared" si="7"/>
        <v>74.464562239428233</v>
      </c>
      <c r="BC13" s="409">
        <v>100.23510672188596</v>
      </c>
    </row>
    <row r="14" spans="1:66" s="415" customFormat="1" ht="24.75" customHeight="1">
      <c r="A14" s="420">
        <v>1</v>
      </c>
      <c r="B14" s="421" t="s">
        <v>284</v>
      </c>
      <c r="C14" s="420">
        <v>150</v>
      </c>
      <c r="D14" s="420">
        <v>204</v>
      </c>
      <c r="E14" s="420">
        <v>100000</v>
      </c>
      <c r="F14" s="422">
        <v>44540</v>
      </c>
      <c r="G14" s="420">
        <f>SUM(I14:T14)</f>
        <v>38445</v>
      </c>
      <c r="H14" s="432">
        <f t="shared" si="1"/>
        <v>38.445</v>
      </c>
      <c r="I14" s="422">
        <v>5595</v>
      </c>
      <c r="J14" s="422">
        <v>6709</v>
      </c>
      <c r="K14" s="422">
        <v>7522</v>
      </c>
      <c r="L14" s="422">
        <v>6709</v>
      </c>
      <c r="M14" s="422">
        <v>5497</v>
      </c>
      <c r="N14" s="422">
        <v>6413</v>
      </c>
      <c r="O14" s="422"/>
      <c r="P14" s="422"/>
      <c r="Q14" s="422"/>
      <c r="R14" s="422"/>
      <c r="S14" s="422"/>
      <c r="T14" s="422"/>
      <c r="U14" s="420">
        <v>8500</v>
      </c>
      <c r="V14" s="422">
        <v>3273</v>
      </c>
      <c r="W14" s="420">
        <f>SUM(Y14:AJ14)</f>
        <v>2814</v>
      </c>
      <c r="X14" s="432">
        <f t="shared" si="9"/>
        <v>33.105882352941173</v>
      </c>
      <c r="Y14" s="422">
        <v>554</v>
      </c>
      <c r="Z14" s="422">
        <v>615</v>
      </c>
      <c r="AA14" s="422">
        <v>429</v>
      </c>
      <c r="AB14" s="422">
        <v>516</v>
      </c>
      <c r="AC14" s="422">
        <v>291</v>
      </c>
      <c r="AD14" s="422">
        <v>409</v>
      </c>
      <c r="AE14" s="422"/>
      <c r="AF14" s="422"/>
      <c r="AG14" s="422"/>
      <c r="AH14" s="422"/>
      <c r="AI14" s="422"/>
      <c r="AJ14" s="422"/>
      <c r="AK14" s="422">
        <v>80000</v>
      </c>
      <c r="AL14" s="422">
        <v>36464</v>
      </c>
      <c r="AM14" s="420">
        <f>SUM(AO14:AZ14)</f>
        <v>31930</v>
      </c>
      <c r="AN14" s="432">
        <f t="shared" si="3"/>
        <v>39.912500000000001</v>
      </c>
      <c r="AO14" s="422">
        <v>4496</v>
      </c>
      <c r="AP14" s="422">
        <v>5989</v>
      </c>
      <c r="AQ14" s="422">
        <v>5596</v>
      </c>
      <c r="AR14" s="422">
        <v>5583</v>
      </c>
      <c r="AS14" s="422">
        <v>4662</v>
      </c>
      <c r="AT14" s="422">
        <v>5604</v>
      </c>
      <c r="AU14" s="422"/>
      <c r="AV14" s="422"/>
      <c r="AW14" s="422"/>
      <c r="AX14" s="422"/>
      <c r="AY14" s="422"/>
      <c r="AZ14" s="422"/>
      <c r="BA14" s="422">
        <v>19698</v>
      </c>
      <c r="BB14" s="432">
        <f t="shared" si="7"/>
        <v>71.956164383561656</v>
      </c>
      <c r="BC14" s="413">
        <v>96.56902002107482</v>
      </c>
    </row>
    <row r="15" spans="1:66" s="415" customFormat="1" ht="24.75" customHeight="1">
      <c r="A15" s="420">
        <v>2</v>
      </c>
      <c r="B15" s="421" t="s">
        <v>285</v>
      </c>
      <c r="C15" s="420">
        <v>140</v>
      </c>
      <c r="D15" s="420">
        <v>241</v>
      </c>
      <c r="E15" s="420">
        <v>208000</v>
      </c>
      <c r="F15" s="422">
        <v>100711</v>
      </c>
      <c r="G15" s="420">
        <f t="shared" ref="G15:G21" si="12">SUM(I15:T15)</f>
        <v>93505</v>
      </c>
      <c r="H15" s="432">
        <f t="shared" si="1"/>
        <v>44.95432692307692</v>
      </c>
      <c r="I15" s="422">
        <v>12614</v>
      </c>
      <c r="J15" s="422">
        <v>16919</v>
      </c>
      <c r="K15" s="422">
        <v>17668</v>
      </c>
      <c r="L15" s="422">
        <v>13368</v>
      </c>
      <c r="M15" s="422">
        <v>16386</v>
      </c>
      <c r="N15" s="422">
        <v>16550</v>
      </c>
      <c r="O15" s="422"/>
      <c r="P15" s="422"/>
      <c r="Q15" s="422"/>
      <c r="R15" s="422"/>
      <c r="S15" s="422"/>
      <c r="T15" s="422"/>
      <c r="U15" s="420">
        <v>8500</v>
      </c>
      <c r="V15" s="422">
        <v>4252</v>
      </c>
      <c r="W15" s="420">
        <f>SUM(Y15:AJ15)</f>
        <v>3499</v>
      </c>
      <c r="X15" s="432">
        <f t="shared" si="9"/>
        <v>41.164705882352941</v>
      </c>
      <c r="Y15" s="422">
        <v>573</v>
      </c>
      <c r="Z15" s="422">
        <v>769</v>
      </c>
      <c r="AA15" s="422">
        <v>656</v>
      </c>
      <c r="AB15" s="422">
        <v>365</v>
      </c>
      <c r="AC15" s="422">
        <v>566</v>
      </c>
      <c r="AD15" s="422">
        <v>570</v>
      </c>
      <c r="AE15" s="422"/>
      <c r="AF15" s="422"/>
      <c r="AG15" s="422"/>
      <c r="AH15" s="422"/>
      <c r="AI15" s="422"/>
      <c r="AJ15" s="422"/>
      <c r="AK15" s="422">
        <v>97000</v>
      </c>
      <c r="AL15" s="422">
        <v>46120</v>
      </c>
      <c r="AM15" s="420">
        <f t="shared" ref="AM15:AM21" si="13">SUM(AO15:AZ15)</f>
        <v>44355</v>
      </c>
      <c r="AN15" s="432">
        <f t="shared" si="3"/>
        <v>45.726804123711339</v>
      </c>
      <c r="AO15" s="422">
        <v>6292</v>
      </c>
      <c r="AP15" s="422">
        <v>9036</v>
      </c>
      <c r="AQ15" s="422">
        <v>8685</v>
      </c>
      <c r="AR15" s="422">
        <v>5932</v>
      </c>
      <c r="AS15" s="422">
        <v>7195</v>
      </c>
      <c r="AT15" s="422">
        <v>7215</v>
      </c>
      <c r="AU15" s="422"/>
      <c r="AV15" s="422"/>
      <c r="AW15" s="422"/>
      <c r="AX15" s="422"/>
      <c r="AY15" s="422"/>
      <c r="AZ15" s="422"/>
      <c r="BA15" s="422">
        <v>21343</v>
      </c>
      <c r="BB15" s="432">
        <f t="shared" si="7"/>
        <v>83.534246575342465</v>
      </c>
      <c r="BC15" s="413">
        <v>101.5146771037182</v>
      </c>
    </row>
    <row r="16" spans="1:66" s="415" customFormat="1" ht="24.75" customHeight="1">
      <c r="A16" s="420">
        <v>3</v>
      </c>
      <c r="B16" s="421" t="s">
        <v>286</v>
      </c>
      <c r="C16" s="420">
        <v>130</v>
      </c>
      <c r="D16" s="420">
        <v>138</v>
      </c>
      <c r="E16" s="420">
        <v>187000</v>
      </c>
      <c r="F16" s="422">
        <v>92219</v>
      </c>
      <c r="G16" s="420">
        <f t="shared" si="12"/>
        <v>78990</v>
      </c>
      <c r="H16" s="432">
        <f t="shared" si="1"/>
        <v>42.240641711229948</v>
      </c>
      <c r="I16" s="422">
        <v>10547</v>
      </c>
      <c r="J16" s="422">
        <v>9527</v>
      </c>
      <c r="K16" s="422">
        <v>13285</v>
      </c>
      <c r="L16" s="422">
        <v>14513</v>
      </c>
      <c r="M16" s="422">
        <v>15778</v>
      </c>
      <c r="N16" s="422">
        <v>15340</v>
      </c>
      <c r="O16" s="422"/>
      <c r="P16" s="422"/>
      <c r="Q16" s="422"/>
      <c r="R16" s="422"/>
      <c r="S16" s="422"/>
      <c r="T16" s="422"/>
      <c r="U16" s="420">
        <v>7900</v>
      </c>
      <c r="V16" s="422">
        <v>3939</v>
      </c>
      <c r="W16" s="420">
        <f t="shared" ref="W16:W21" si="14">SUM(Y16:AJ16)</f>
        <v>3044</v>
      </c>
      <c r="X16" s="432">
        <f t="shared" si="9"/>
        <v>38.531645569620252</v>
      </c>
      <c r="Y16" s="422">
        <v>739</v>
      </c>
      <c r="Z16" s="422">
        <v>544</v>
      </c>
      <c r="AA16" s="422">
        <v>451</v>
      </c>
      <c r="AB16" s="422">
        <v>552</v>
      </c>
      <c r="AC16" s="422">
        <v>342</v>
      </c>
      <c r="AD16" s="422">
        <v>416</v>
      </c>
      <c r="AE16" s="422"/>
      <c r="AF16" s="422"/>
      <c r="AG16" s="422"/>
      <c r="AH16" s="422"/>
      <c r="AI16" s="422"/>
      <c r="AJ16" s="422"/>
      <c r="AK16" s="422">
        <v>68000</v>
      </c>
      <c r="AL16" s="422">
        <v>26735</v>
      </c>
      <c r="AM16" s="420">
        <f t="shared" si="13"/>
        <v>27892</v>
      </c>
      <c r="AN16" s="432">
        <f t="shared" si="3"/>
        <v>41.017647058823528</v>
      </c>
      <c r="AO16" s="422">
        <v>5605</v>
      </c>
      <c r="AP16" s="422">
        <v>3984</v>
      </c>
      <c r="AQ16" s="422">
        <v>5143</v>
      </c>
      <c r="AR16" s="422">
        <v>4855</v>
      </c>
      <c r="AS16" s="422">
        <v>3824</v>
      </c>
      <c r="AT16" s="422">
        <v>4481</v>
      </c>
      <c r="AU16" s="422"/>
      <c r="AV16" s="422"/>
      <c r="AW16" s="422"/>
      <c r="AX16" s="422"/>
      <c r="AY16" s="422"/>
      <c r="AZ16" s="422"/>
      <c r="BA16" s="422">
        <v>14565</v>
      </c>
      <c r="BB16" s="432">
        <f t="shared" si="7"/>
        <v>61.390937829293989</v>
      </c>
      <c r="BC16" s="413">
        <v>85.515981735159812</v>
      </c>
    </row>
    <row r="17" spans="1:55" s="415" customFormat="1" ht="24.75" customHeight="1">
      <c r="A17" s="420">
        <v>4</v>
      </c>
      <c r="B17" s="421" t="s">
        <v>287</v>
      </c>
      <c r="C17" s="420">
        <v>110</v>
      </c>
      <c r="D17" s="420">
        <v>120</v>
      </c>
      <c r="E17" s="420">
        <v>146000</v>
      </c>
      <c r="F17" s="422">
        <v>73916</v>
      </c>
      <c r="G17" s="420">
        <f t="shared" si="12"/>
        <v>64426</v>
      </c>
      <c r="H17" s="432">
        <f t="shared" si="1"/>
        <v>44.127397260273973</v>
      </c>
      <c r="I17" s="422">
        <v>10134</v>
      </c>
      <c r="J17" s="422">
        <v>8380</v>
      </c>
      <c r="K17" s="422">
        <v>12348</v>
      </c>
      <c r="L17" s="422">
        <v>12605</v>
      </c>
      <c r="M17" s="422">
        <v>9446</v>
      </c>
      <c r="N17" s="422">
        <v>11513</v>
      </c>
      <c r="O17" s="422"/>
      <c r="P17" s="422"/>
      <c r="Q17" s="422"/>
      <c r="R17" s="422"/>
      <c r="S17" s="422"/>
      <c r="T17" s="422"/>
      <c r="U17" s="420">
        <v>6700</v>
      </c>
      <c r="V17" s="422">
        <v>3220</v>
      </c>
      <c r="W17" s="420">
        <f t="shared" si="14"/>
        <v>2813</v>
      </c>
      <c r="X17" s="432">
        <f t="shared" si="9"/>
        <v>41.985074626865668</v>
      </c>
      <c r="Y17" s="422">
        <v>680</v>
      </c>
      <c r="Z17" s="422">
        <v>542</v>
      </c>
      <c r="AA17" s="422">
        <v>462</v>
      </c>
      <c r="AB17" s="422">
        <v>471</v>
      </c>
      <c r="AC17" s="422">
        <v>274</v>
      </c>
      <c r="AD17" s="422">
        <v>384</v>
      </c>
      <c r="AE17" s="422"/>
      <c r="AF17" s="422"/>
      <c r="AG17" s="422"/>
      <c r="AH17" s="422"/>
      <c r="AI17" s="422"/>
      <c r="AJ17" s="422"/>
      <c r="AK17" s="422">
        <v>68000</v>
      </c>
      <c r="AL17" s="422">
        <v>36323</v>
      </c>
      <c r="AM17" s="420">
        <f t="shared" si="13"/>
        <v>31433</v>
      </c>
      <c r="AN17" s="432">
        <f t="shared" si="3"/>
        <v>46.225000000000001</v>
      </c>
      <c r="AO17" s="422">
        <v>6089</v>
      </c>
      <c r="AP17" s="422">
        <v>4826</v>
      </c>
      <c r="AQ17" s="422">
        <v>5884</v>
      </c>
      <c r="AR17" s="422">
        <v>5888</v>
      </c>
      <c r="AS17" s="422">
        <v>3936</v>
      </c>
      <c r="AT17" s="422">
        <v>4810</v>
      </c>
      <c r="AU17" s="422"/>
      <c r="AV17" s="422"/>
      <c r="AW17" s="422"/>
      <c r="AX17" s="422"/>
      <c r="AY17" s="422"/>
      <c r="AZ17" s="422"/>
      <c r="BA17" s="422">
        <v>16860</v>
      </c>
      <c r="BB17" s="432">
        <f t="shared" si="7"/>
        <v>83.985056039850562</v>
      </c>
      <c r="BC17" s="413">
        <v>91.30958904109589</v>
      </c>
    </row>
    <row r="18" spans="1:55" s="415" customFormat="1" ht="24.75" customHeight="1">
      <c r="A18" s="420">
        <v>5</v>
      </c>
      <c r="B18" s="421" t="s">
        <v>288</v>
      </c>
      <c r="C18" s="420">
        <v>180</v>
      </c>
      <c r="D18" s="420">
        <v>285</v>
      </c>
      <c r="E18" s="421">
        <v>175000</v>
      </c>
      <c r="F18" s="422">
        <v>68337</v>
      </c>
      <c r="G18" s="420">
        <f t="shared" si="12"/>
        <v>81399</v>
      </c>
      <c r="H18" s="432">
        <f t="shared" si="1"/>
        <v>46.513714285714286</v>
      </c>
      <c r="I18" s="422">
        <v>13790</v>
      </c>
      <c r="J18" s="422">
        <v>11134</v>
      </c>
      <c r="K18" s="422">
        <v>15290</v>
      </c>
      <c r="L18" s="422">
        <v>15396</v>
      </c>
      <c r="M18" s="422">
        <v>10431</v>
      </c>
      <c r="N18" s="422">
        <v>15358</v>
      </c>
      <c r="O18" s="422"/>
      <c r="P18" s="422"/>
      <c r="Q18" s="422"/>
      <c r="R18" s="422"/>
      <c r="S18" s="422"/>
      <c r="T18" s="422"/>
      <c r="U18" s="420">
        <v>10800</v>
      </c>
      <c r="V18" s="422">
        <v>5550</v>
      </c>
      <c r="W18" s="420">
        <f t="shared" si="14"/>
        <v>5014</v>
      </c>
      <c r="X18" s="432">
        <f t="shared" si="9"/>
        <v>46.425925925925924</v>
      </c>
      <c r="Y18" s="422">
        <v>1135</v>
      </c>
      <c r="Z18" s="422">
        <v>885</v>
      </c>
      <c r="AA18" s="422">
        <v>910</v>
      </c>
      <c r="AB18" s="422">
        <v>917</v>
      </c>
      <c r="AC18" s="422">
        <v>427</v>
      </c>
      <c r="AD18" s="422">
        <v>740</v>
      </c>
      <c r="AE18" s="422"/>
      <c r="AF18" s="422"/>
      <c r="AG18" s="422"/>
      <c r="AH18" s="422"/>
      <c r="AI18" s="422"/>
      <c r="AJ18" s="422"/>
      <c r="AK18" s="422">
        <v>115000</v>
      </c>
      <c r="AL18" s="422">
        <v>49282</v>
      </c>
      <c r="AM18" s="420">
        <f t="shared" si="13"/>
        <v>44763</v>
      </c>
      <c r="AN18" s="432">
        <f t="shared" si="3"/>
        <v>38.924347826086958</v>
      </c>
      <c r="AO18" s="422">
        <v>9158</v>
      </c>
      <c r="AP18" s="422">
        <v>5904</v>
      </c>
      <c r="AQ18" s="422">
        <v>8445</v>
      </c>
      <c r="AR18" s="422">
        <v>8449</v>
      </c>
      <c r="AS18" s="422">
        <v>5197</v>
      </c>
      <c r="AT18" s="422">
        <v>7610</v>
      </c>
      <c r="AU18" s="422"/>
      <c r="AV18" s="422"/>
      <c r="AW18" s="422"/>
      <c r="AX18" s="422"/>
      <c r="AY18" s="422"/>
      <c r="AZ18" s="422"/>
      <c r="BA18" s="422">
        <v>28684</v>
      </c>
      <c r="BB18" s="432">
        <f t="shared" si="7"/>
        <v>87.318112633181116</v>
      </c>
      <c r="BC18" s="413">
        <v>122.91324200913243</v>
      </c>
    </row>
    <row r="19" spans="1:55" s="415" customFormat="1" ht="24.75" customHeight="1">
      <c r="A19" s="420">
        <v>6</v>
      </c>
      <c r="B19" s="421" t="s">
        <v>289</v>
      </c>
      <c r="C19" s="420">
        <v>120</v>
      </c>
      <c r="D19" s="420">
        <v>180</v>
      </c>
      <c r="E19" s="420">
        <v>137000</v>
      </c>
      <c r="F19" s="422">
        <v>57632</v>
      </c>
      <c r="G19" s="420">
        <f t="shared" si="12"/>
        <v>52883</v>
      </c>
      <c r="H19" s="432">
        <f t="shared" si="1"/>
        <v>38.600729927007301</v>
      </c>
      <c r="I19" s="422">
        <v>8768</v>
      </c>
      <c r="J19" s="422">
        <v>5659</v>
      </c>
      <c r="K19" s="422">
        <v>10041</v>
      </c>
      <c r="L19" s="422">
        <v>11041</v>
      </c>
      <c r="M19" s="422">
        <v>7687</v>
      </c>
      <c r="N19" s="422">
        <v>9687</v>
      </c>
      <c r="O19" s="422"/>
      <c r="P19" s="422"/>
      <c r="Q19" s="422"/>
      <c r="R19" s="422"/>
      <c r="S19" s="422"/>
      <c r="T19" s="422"/>
      <c r="U19" s="420">
        <v>7300</v>
      </c>
      <c r="V19" s="422">
        <v>4125</v>
      </c>
      <c r="W19" s="420">
        <f t="shared" si="14"/>
        <v>3346</v>
      </c>
      <c r="X19" s="432">
        <f t="shared" si="9"/>
        <v>45.835616438356162</v>
      </c>
      <c r="Y19" s="422">
        <v>742</v>
      </c>
      <c r="Z19" s="422">
        <v>600</v>
      </c>
      <c r="AA19" s="422">
        <v>589</v>
      </c>
      <c r="AB19" s="422">
        <v>582</v>
      </c>
      <c r="AC19" s="422">
        <v>337</v>
      </c>
      <c r="AD19" s="422">
        <v>496</v>
      </c>
      <c r="AE19" s="422"/>
      <c r="AF19" s="422"/>
      <c r="AG19" s="422"/>
      <c r="AH19" s="422"/>
      <c r="AI19" s="422"/>
      <c r="AJ19" s="422"/>
      <c r="AK19" s="422">
        <v>85000</v>
      </c>
      <c r="AL19" s="422">
        <v>41598</v>
      </c>
      <c r="AM19" s="420">
        <f t="shared" si="13"/>
        <v>32097</v>
      </c>
      <c r="AN19" s="432">
        <f t="shared" si="3"/>
        <v>37.761176470588239</v>
      </c>
      <c r="AO19" s="422">
        <v>5742</v>
      </c>
      <c r="AP19" s="422">
        <v>4253</v>
      </c>
      <c r="AQ19" s="422">
        <v>6634</v>
      </c>
      <c r="AR19" s="422">
        <v>6150</v>
      </c>
      <c r="AS19" s="422">
        <v>4405</v>
      </c>
      <c r="AT19" s="422">
        <v>4913</v>
      </c>
      <c r="AU19" s="422"/>
      <c r="AV19" s="422"/>
      <c r="AW19" s="422"/>
      <c r="AX19" s="422"/>
      <c r="AY19" s="422"/>
      <c r="AZ19" s="422"/>
      <c r="BA19" s="422">
        <v>16871</v>
      </c>
      <c r="BB19" s="432">
        <f t="shared" si="7"/>
        <v>77.036529680365291</v>
      </c>
      <c r="BC19" s="413">
        <v>112.41095890410959</v>
      </c>
    </row>
    <row r="20" spans="1:55" s="415" customFormat="1" ht="24.75" customHeight="1">
      <c r="A20" s="420">
        <v>7</v>
      </c>
      <c r="B20" s="421" t="s">
        <v>307</v>
      </c>
      <c r="C20" s="427">
        <v>40</v>
      </c>
      <c r="D20" s="420"/>
      <c r="E20" s="420">
        <v>35000</v>
      </c>
      <c r="F20" s="428">
        <v>15269</v>
      </c>
      <c r="G20" s="420">
        <f t="shared" si="12"/>
        <v>14774</v>
      </c>
      <c r="H20" s="432">
        <f t="shared" si="1"/>
        <v>42.21142857142857</v>
      </c>
      <c r="I20" s="428">
        <v>3395</v>
      </c>
      <c r="J20" s="428">
        <v>2485</v>
      </c>
      <c r="K20" s="428">
        <v>2384</v>
      </c>
      <c r="L20" s="428">
        <v>2375</v>
      </c>
      <c r="M20" s="428">
        <v>1887</v>
      </c>
      <c r="N20" s="428">
        <v>2248</v>
      </c>
      <c r="O20" s="428"/>
      <c r="P20" s="428"/>
      <c r="Q20" s="428"/>
      <c r="R20" s="428"/>
      <c r="S20" s="428"/>
      <c r="T20" s="428"/>
      <c r="U20" s="429">
        <v>500</v>
      </c>
      <c r="V20" s="428"/>
      <c r="W20" s="420">
        <f t="shared" si="14"/>
        <v>0</v>
      </c>
      <c r="X20" s="432">
        <f t="shared" si="9"/>
        <v>0</v>
      </c>
      <c r="Y20" s="422"/>
      <c r="Z20" s="422"/>
      <c r="AA20" s="422"/>
      <c r="AB20" s="422"/>
      <c r="AC20" s="422"/>
      <c r="AD20" s="428"/>
      <c r="AE20" s="428"/>
      <c r="AF20" s="428"/>
      <c r="AG20" s="428"/>
      <c r="AH20" s="428"/>
      <c r="AI20" s="428"/>
      <c r="AJ20" s="428"/>
      <c r="AK20" s="428">
        <v>17500</v>
      </c>
      <c r="AL20" s="428">
        <v>4471</v>
      </c>
      <c r="AM20" s="420">
        <f>SUM(AO20:AZ20)</f>
        <v>4239</v>
      </c>
      <c r="AN20" s="432">
        <f t="shared" si="3"/>
        <v>24.222857142857144</v>
      </c>
      <c r="AO20" s="428">
        <v>702</v>
      </c>
      <c r="AP20" s="428">
        <v>649</v>
      </c>
      <c r="AQ20" s="428">
        <v>741</v>
      </c>
      <c r="AR20" s="428">
        <v>782</v>
      </c>
      <c r="AS20" s="428">
        <v>624</v>
      </c>
      <c r="AT20" s="428">
        <v>741</v>
      </c>
      <c r="AU20" s="428"/>
      <c r="AV20" s="428"/>
      <c r="AW20" s="428"/>
      <c r="AX20" s="428"/>
      <c r="AY20" s="428"/>
      <c r="AZ20" s="428"/>
      <c r="BA20" s="422"/>
      <c r="BB20" s="432">
        <f t="shared" si="7"/>
        <v>0</v>
      </c>
      <c r="BC20" s="413">
        <v>0</v>
      </c>
    </row>
    <row r="21" spans="1:55" s="415" customFormat="1" ht="24.75" customHeight="1">
      <c r="A21" s="420">
        <v>8</v>
      </c>
      <c r="B21" s="421" t="s">
        <v>290</v>
      </c>
      <c r="C21" s="427">
        <v>50</v>
      </c>
      <c r="D21" s="427">
        <v>80</v>
      </c>
      <c r="E21" s="427">
        <v>59000</v>
      </c>
      <c r="F21" s="422">
        <v>28907</v>
      </c>
      <c r="G21" s="420">
        <f t="shared" si="12"/>
        <v>21056</v>
      </c>
      <c r="H21" s="432">
        <f t="shared" si="1"/>
        <v>35.688135593220338</v>
      </c>
      <c r="I21" s="430">
        <v>4091</v>
      </c>
      <c r="J21" s="430">
        <v>3541</v>
      </c>
      <c r="K21" s="430">
        <v>4589</v>
      </c>
      <c r="L21" s="430">
        <v>3583</v>
      </c>
      <c r="M21" s="430">
        <v>2250</v>
      </c>
      <c r="N21" s="430">
        <v>3002</v>
      </c>
      <c r="O21" s="430"/>
      <c r="P21" s="430"/>
      <c r="Q21" s="430"/>
      <c r="R21" s="430"/>
      <c r="S21" s="430"/>
      <c r="T21" s="430"/>
      <c r="U21" s="427">
        <v>3000</v>
      </c>
      <c r="V21" s="422">
        <v>1485</v>
      </c>
      <c r="W21" s="420">
        <f t="shared" si="14"/>
        <v>1229</v>
      </c>
      <c r="X21" s="432">
        <f>W21/U21*100</f>
        <v>40.966666666666669</v>
      </c>
      <c r="Y21" s="430">
        <v>269</v>
      </c>
      <c r="Z21" s="430">
        <v>202</v>
      </c>
      <c r="AA21" s="430">
        <v>233</v>
      </c>
      <c r="AB21" s="430">
        <v>197</v>
      </c>
      <c r="AC21" s="430">
        <v>161</v>
      </c>
      <c r="AD21" s="430">
        <v>167</v>
      </c>
      <c r="AE21" s="430"/>
      <c r="AF21" s="430"/>
      <c r="AG21" s="430"/>
      <c r="AH21" s="430"/>
      <c r="AI21" s="430"/>
      <c r="AJ21" s="430"/>
      <c r="AK21" s="422">
        <v>42000</v>
      </c>
      <c r="AL21" s="422">
        <v>18489</v>
      </c>
      <c r="AM21" s="420">
        <f t="shared" si="13"/>
        <v>16013</v>
      </c>
      <c r="AN21" s="432">
        <f t="shared" si="3"/>
        <v>38.126190476190473</v>
      </c>
      <c r="AO21" s="430">
        <v>2668</v>
      </c>
      <c r="AP21" s="430">
        <v>2451</v>
      </c>
      <c r="AQ21" s="430">
        <v>3314</v>
      </c>
      <c r="AR21" s="430">
        <v>2946</v>
      </c>
      <c r="AS21" s="430">
        <v>1872</v>
      </c>
      <c r="AT21" s="430">
        <v>2762</v>
      </c>
      <c r="AU21" s="430"/>
      <c r="AV21" s="430"/>
      <c r="AW21" s="430"/>
      <c r="AX21" s="430"/>
      <c r="AY21" s="430"/>
      <c r="AZ21" s="430"/>
      <c r="BA21" s="430">
        <v>7005</v>
      </c>
      <c r="BB21" s="432">
        <f t="shared" si="7"/>
        <v>76.767123287671239</v>
      </c>
      <c r="BC21" s="413">
        <v>88.591780821917808</v>
      </c>
    </row>
    <row r="22" spans="1:55" s="392" customFormat="1">
      <c r="C22" s="393"/>
      <c r="D22" s="393"/>
      <c r="E22" s="393"/>
      <c r="F22" s="393"/>
      <c r="G22" s="416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416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416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400"/>
    </row>
    <row r="23" spans="1:55" s="392" customFormat="1"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400"/>
    </row>
    <row r="24" spans="1:55">
      <c r="G24" s="395"/>
    </row>
  </sheetData>
  <mergeCells count="31">
    <mergeCell ref="X5:X6"/>
    <mergeCell ref="BI6:BK6"/>
    <mergeCell ref="BL6:BN6"/>
    <mergeCell ref="BB3:BC6"/>
    <mergeCell ref="AK5:AK6"/>
    <mergeCell ref="AL5:AL6"/>
    <mergeCell ref="AM5:AM6"/>
    <mergeCell ref="AN5:AN6"/>
    <mergeCell ref="AO5:AZ5"/>
    <mergeCell ref="BF6:BH6"/>
    <mergeCell ref="H5:H6"/>
    <mergeCell ref="I5:T5"/>
    <mergeCell ref="U5:U6"/>
    <mergeCell ref="V5:V6"/>
    <mergeCell ref="W5:W6"/>
    <mergeCell ref="A1:BC1"/>
    <mergeCell ref="A2:BA2"/>
    <mergeCell ref="A3:A6"/>
    <mergeCell ref="B3:B6"/>
    <mergeCell ref="C3:D4"/>
    <mergeCell ref="E3:AZ3"/>
    <mergeCell ref="BA3:BA6"/>
    <mergeCell ref="E4:T4"/>
    <mergeCell ref="U4:AJ4"/>
    <mergeCell ref="Y5:AJ5"/>
    <mergeCell ref="AK4:AZ4"/>
    <mergeCell ref="C5:C6"/>
    <mergeCell ref="D5:D6"/>
    <mergeCell ref="E5:E6"/>
    <mergeCell ref="F5:F6"/>
    <mergeCell ref="G5:G6"/>
  </mergeCells>
  <pageMargins left="0.2" right="0.2" top="0.8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Báo cáo tháng</vt:lpstr>
      <vt:lpstr>Báo cáo 3 tháng </vt:lpstr>
      <vt:lpstr>Báo cáo năm</vt:lpstr>
      <vt:lpstr>Báo cáo chính thức</vt:lpstr>
      <vt:lpstr>Báo cáo 6 tháng</vt:lpstr>
      <vt:lpstr>Báo cáo 6 tháng </vt:lpstr>
      <vt:lpstr>Biểu tổng SKHĐT </vt:lpstr>
      <vt:lpstr>Biểu chi tiết SKHĐT</vt:lpstr>
      <vt:lpstr>Khám chữa bệnh Chung</vt:lpstr>
      <vt:lpstr>Khám chữa bệnh người nghèo</vt:lpstr>
      <vt:lpstr>Khám chữa bệnh trẻ em</vt:lpstr>
      <vt:lpstr>'Báo cáo 3 tháng '!Print_Titles</vt:lpstr>
      <vt:lpstr>'Báo cáo tháng'!Print_Titles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2020-07-07T03:22:35Z</cp:lastPrinted>
  <dcterms:created xsi:type="dcterms:W3CDTF">2019-10-15T04:15:12Z</dcterms:created>
  <dcterms:modified xsi:type="dcterms:W3CDTF">2020-07-07T04:25:21Z</dcterms:modified>
</cp:coreProperties>
</file>